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i\Desktop\MMPI - HZI\"/>
    </mc:Choice>
  </mc:AlternateContent>
  <xr:revisionPtr revIDLastSave="0" documentId="13_ncr:1_{621E1190-3E58-4A4D-A1BE-A80580A19B83}" xr6:coauthVersionLast="47" xr6:coauthVersionMax="47" xr10:uidLastSave="{00000000-0000-0000-0000-000000000000}"/>
  <bookViews>
    <workbookView xWindow="-108" yWindow="-108" windowWidth="23256" windowHeight="12456" activeTab="3" xr2:uid="{B1DC6680-6197-498B-8A9A-48D3096AE155}"/>
  </bookViews>
  <sheets>
    <sheet name="Izvrsenje" sheetId="21" r:id="rId1"/>
    <sheet name="Obracun" sheetId="22" r:id="rId2"/>
    <sheet name="RDG" sheetId="12" r:id="rId3"/>
    <sheet name="PiR-popis" sheetId="16" r:id="rId4"/>
    <sheet name="P" sheetId="20" r:id="rId5"/>
    <sheet name="R" sheetId="15" r:id="rId6"/>
    <sheet name="Bilanca" sheetId="1" r:id="rId7"/>
    <sheet name="JD-JK-Bil" sheetId="2" r:id="rId8"/>
    <sheet name="UI-R" sheetId="13" r:id="rId9"/>
    <sheet name="UI-A" sheetId="17" r:id="rId10"/>
    <sheet name="UO-A" sheetId="19" r:id="rId11"/>
    <sheet name="KPI" sheetId="10" r:id="rId12"/>
    <sheet name="Strategija razvoja" sheetId="3" r:id="rId13"/>
    <sheet name="Nacionalni plan razvoja" sheetId="4" r:id="rId14"/>
    <sheet name="Nacionalni plan razvoja D" sheetId="5" r:id="rId15"/>
    <sheet name="Akcijski plan - NPR" sheetId="7" r:id="rId16"/>
    <sheet name="Investicije - NPR" sheetId="6" r:id="rId17"/>
    <sheet name="NP upravljanja 2030 (1)" sheetId="8" r:id="rId18"/>
    <sheet name="NP upravljanja 2030 (2)" sheetId="9" r:id="rId19"/>
    <sheet name="List8" sheetId="11" r:id="rId20"/>
  </sheets>
  <externalReferences>
    <externalReference r:id="rId21"/>
    <externalReference r:id="rId22"/>
  </externalReferences>
  <definedNames>
    <definedName name="_xlnm._FilterDatabase" localSheetId="15" hidden="1">'Akcijski plan - NPR'!$C$1:$V$45</definedName>
    <definedName name="_ftn1" localSheetId="13">'Nacionalni plan razvoja'!$A$16</definedName>
    <definedName name="_ftn2" localSheetId="13">'Nacionalni plan razvoja'!$A$17</definedName>
    <definedName name="_ftn3" localSheetId="13">'Nacionalni plan razvoja'!$A$18</definedName>
    <definedName name="_ftn4" localSheetId="13">'Nacionalni plan razvoja'!$A$19</definedName>
    <definedName name="_ftn5" localSheetId="13">'Nacionalni plan razvoja'!$A$20</definedName>
    <definedName name="_ftn6" localSheetId="13">'Nacionalni plan razvoja'!$A$21</definedName>
    <definedName name="_ftn7" localSheetId="13">'Nacionalni plan razvoja'!$A$22</definedName>
    <definedName name="_ftnref1" localSheetId="13">'Nacionalni plan razvoja'!$C$6</definedName>
    <definedName name="_ftnref2" localSheetId="13">'Nacionalni plan razvoja'!$C$7</definedName>
    <definedName name="_ftnref3" localSheetId="13">'Nacionalni plan razvoja'!$C$9</definedName>
    <definedName name="_ftnref4" localSheetId="13">'Nacionalni plan razvoja'!$C$10</definedName>
    <definedName name="_ftnref5" localSheetId="13">'Nacionalni plan razvoja'!$D$11</definedName>
    <definedName name="_ftnref6" localSheetId="13">'Nacionalni plan razvoja'!$D$12</definedName>
    <definedName name="_ftnref7" localSheetId="13">'Nacionalni plan razvoja'!$C$15</definedName>
    <definedName name="_Hlk108797017" localSheetId="13">'Nacionalni plan razvoja'!$A$1</definedName>
    <definedName name="_Hlk109038266" localSheetId="13">'Nacionalni plan razvoja'!$B$9</definedName>
    <definedName name="_Hlk109039229" localSheetId="13">'Nacionalni plan razvoja'!$C$15</definedName>
    <definedName name="_Hlk114047163" localSheetId="17">'NP upravljanja 2030 (1)'!$A$3</definedName>
    <definedName name="_Hlk114661447" localSheetId="13">'Nacionalni plan razvoja'!$A$3</definedName>
    <definedName name="_Hlk114818647" localSheetId="13">'Nacionalni plan razvoja'!$B$8</definedName>
    <definedName name="_Hlk115690299" localSheetId="14">'Nacionalni plan razvoja D'!$A$1</definedName>
    <definedName name="_Hlk116456442" localSheetId="16">'Investicije - NPR'!$H$3</definedName>
    <definedName name="_Hlk116456538" localSheetId="16">'Investicije - NPR'!$A$17</definedName>
    <definedName name="_Hlk116456544" localSheetId="16">'Investicije - NPR'!$A$19</definedName>
    <definedName name="_Hlk116456551" localSheetId="16">'Investicije - NPR'!$A$23</definedName>
    <definedName name="_Hlk116456557" localSheetId="16">'Investicije - NPR'!$A$26</definedName>
    <definedName name="_Hlk116456572" localSheetId="16">'Investicije - NPR'!$A$34</definedName>
    <definedName name="_Hlk116456577" localSheetId="16">'Investicije - NPR'!$A$30</definedName>
    <definedName name="_Hlk116456583" localSheetId="16">'Investicije - NPR'!$A$11</definedName>
    <definedName name="_Hlk116456589" localSheetId="16">'Investicije - NPR'!$A$2</definedName>
    <definedName name="_Hlk116475109" localSheetId="15">'Akcijski plan - NPR'!$D$2</definedName>
    <definedName name="_Hlk116475135" localSheetId="15">'Akcijski plan - NPR'!$D$3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2" l="1"/>
  <c r="I2" i="22"/>
  <c r="J2" i="22"/>
  <c r="G2" i="22"/>
  <c r="F2" i="22"/>
  <c r="J195" i="16"/>
  <c r="F189" i="16"/>
  <c r="F185" i="16"/>
  <c r="F175" i="16"/>
  <c r="F174" i="16"/>
  <c r="F169" i="16"/>
  <c r="F144" i="16"/>
  <c r="F134" i="16"/>
  <c r="F214" i="16" s="1"/>
  <c r="F126" i="16"/>
  <c r="F119" i="16"/>
  <c r="F96" i="16"/>
  <c r="F94" i="16"/>
  <c r="F78" i="16"/>
  <c r="F67" i="16"/>
  <c r="K60" i="16"/>
  <c r="K55" i="16"/>
  <c r="H60" i="16"/>
  <c r="I60" i="16"/>
  <c r="J60" i="16"/>
  <c r="G60" i="16"/>
  <c r="F60" i="16"/>
  <c r="F55" i="16"/>
  <c r="F35" i="16"/>
  <c r="F20" i="16"/>
  <c r="G213" i="16"/>
  <c r="H213" i="16"/>
  <c r="I213" i="16"/>
  <c r="J213" i="16"/>
  <c r="K213" i="16"/>
  <c r="F204" i="16"/>
  <c r="C243" i="16"/>
  <c r="D243" i="16"/>
  <c r="E243" i="16"/>
  <c r="D234" i="16"/>
  <c r="E234" i="16"/>
  <c r="C234" i="16"/>
  <c r="C202" i="16"/>
  <c r="C225" i="16" s="1"/>
  <c r="C187" i="16"/>
  <c r="C184" i="16"/>
  <c r="C183" i="16"/>
  <c r="C180" i="16"/>
  <c r="C173" i="16"/>
  <c r="C172" i="16"/>
  <c r="C171" i="16"/>
  <c r="C168" i="16"/>
  <c r="C169" i="16" s="1"/>
  <c r="C163" i="16"/>
  <c r="C162" i="16"/>
  <c r="C161" i="16"/>
  <c r="C160" i="16"/>
  <c r="C159" i="16"/>
  <c r="C158" i="16"/>
  <c r="C367" i="15"/>
  <c r="C368" i="15"/>
  <c r="C354" i="15"/>
  <c r="C355" i="15"/>
  <c r="C350" i="15"/>
  <c r="C156" i="16"/>
  <c r="C149" i="16"/>
  <c r="C142" i="16"/>
  <c r="C141" i="16"/>
  <c r="C139" i="16"/>
  <c r="N135" i="16"/>
  <c r="C134" i="16"/>
  <c r="C252" i="16" s="1"/>
  <c r="C126" i="16"/>
  <c r="C103" i="16"/>
  <c r="C102" i="16"/>
  <c r="C198" i="15"/>
  <c r="C118" i="16" s="1"/>
  <c r="C187" i="15"/>
  <c r="C116" i="16" s="1"/>
  <c r="C129" i="15"/>
  <c r="C101" i="16" s="1"/>
  <c r="C90" i="16"/>
  <c r="C413" i="15"/>
  <c r="B397" i="15"/>
  <c r="C397" i="15" s="1"/>
  <c r="B403" i="15"/>
  <c r="C403" i="15" s="1"/>
  <c r="B409" i="15"/>
  <c r="C409" i="15" s="1"/>
  <c r="B413" i="15"/>
  <c r="I389" i="15"/>
  <c r="I382" i="15"/>
  <c r="I379" i="15"/>
  <c r="I376" i="15"/>
  <c r="E369" i="15"/>
  <c r="D370" i="15"/>
  <c r="E361" i="15"/>
  <c r="C361" i="15"/>
  <c r="B370" i="15"/>
  <c r="C360" i="15"/>
  <c r="C363" i="15"/>
  <c r="C157" i="16" s="1"/>
  <c r="C369" i="15"/>
  <c r="C356" i="15"/>
  <c r="C353" i="15"/>
  <c r="C351" i="15"/>
  <c r="C349" i="15" s="1"/>
  <c r="C344" i="15"/>
  <c r="C155" i="16" s="1"/>
  <c r="C341" i="15"/>
  <c r="C154" i="16" s="1"/>
  <c r="C224" i="15"/>
  <c r="C143" i="16" s="1"/>
  <c r="C222" i="15"/>
  <c r="C221" i="15"/>
  <c r="C232" i="15"/>
  <c r="C236" i="15"/>
  <c r="C148" i="16" s="1"/>
  <c r="E236" i="15"/>
  <c r="B237" i="15"/>
  <c r="B215" i="15"/>
  <c r="C215" i="15" s="1"/>
  <c r="C140" i="16" s="1"/>
  <c r="B212" i="15"/>
  <c r="C212" i="15" s="1"/>
  <c r="C138" i="16" s="1"/>
  <c r="B225" i="15"/>
  <c r="B218" i="15"/>
  <c r="C218" i="15" s="1"/>
  <c r="B200" i="15"/>
  <c r="C199" i="15"/>
  <c r="C197" i="15" s="1"/>
  <c r="C117" i="16" s="1"/>
  <c r="C188" i="15"/>
  <c r="C186" i="15" s="1"/>
  <c r="C115" i="16" s="1"/>
  <c r="C170" i="15"/>
  <c r="C114" i="16" s="1"/>
  <c r="C166" i="15"/>
  <c r="C113" i="16" s="1"/>
  <c r="C165" i="15"/>
  <c r="C112" i="16" s="1"/>
  <c r="C162" i="15"/>
  <c r="C111" i="16" s="1"/>
  <c r="C158" i="15"/>
  <c r="C110" i="16" s="1"/>
  <c r="C155" i="15"/>
  <c r="C109" i="16" s="1"/>
  <c r="C154" i="15"/>
  <c r="C108" i="16" s="1"/>
  <c r="C153" i="15"/>
  <c r="C107" i="16" s="1"/>
  <c r="C152" i="15"/>
  <c r="C106" i="16" s="1"/>
  <c r="C151" i="15"/>
  <c r="C105" i="16" s="1"/>
  <c r="C150" i="15"/>
  <c r="C135" i="15"/>
  <c r="C104" i="16" s="1"/>
  <c r="C132" i="15"/>
  <c r="C130" i="15"/>
  <c r="C128" i="15" s="1"/>
  <c r="C100" i="16" s="1"/>
  <c r="H116" i="15"/>
  <c r="H117" i="15" s="1"/>
  <c r="H114" i="15"/>
  <c r="H112" i="15"/>
  <c r="C62" i="15" s="1"/>
  <c r="C88" i="16" s="1"/>
  <c r="H110" i="15"/>
  <c r="H104" i="15"/>
  <c r="C55" i="15" s="1"/>
  <c r="C86" i="16" s="1"/>
  <c r="H99" i="15"/>
  <c r="C43" i="15" s="1"/>
  <c r="C84" i="16" s="1"/>
  <c r="H97" i="15"/>
  <c r="H93" i="15"/>
  <c r="H90" i="15"/>
  <c r="H87" i="15"/>
  <c r="H84" i="15"/>
  <c r="C24" i="15" s="1"/>
  <c r="B77" i="15"/>
  <c r="C75" i="15"/>
  <c r="C89" i="16" s="1"/>
  <c r="C69" i="15"/>
  <c r="C91" i="16" s="1"/>
  <c r="C73" i="15"/>
  <c r="C92" i="16" s="1"/>
  <c r="C76" i="15"/>
  <c r="C77" i="15" s="1"/>
  <c r="C63" i="15"/>
  <c r="C56" i="15"/>
  <c r="C54" i="15" s="1"/>
  <c r="C85" i="16" s="1"/>
  <c r="C44" i="15"/>
  <c r="C42" i="15" s="1"/>
  <c r="C83" i="16" s="1"/>
  <c r="B35" i="15"/>
  <c r="C35" i="15" s="1"/>
  <c r="C80" i="16" s="1"/>
  <c r="B31" i="15"/>
  <c r="B32" i="15" s="1"/>
  <c r="C30" i="15"/>
  <c r="C75" i="16" s="1"/>
  <c r="C26" i="15"/>
  <c r="C74" i="16" s="1"/>
  <c r="C25" i="15"/>
  <c r="C13" i="15"/>
  <c r="C73" i="16" s="1"/>
  <c r="C66" i="16"/>
  <c r="C65" i="16"/>
  <c r="C64" i="16"/>
  <c r="C63" i="16"/>
  <c r="C59" i="16"/>
  <c r="C58" i="16"/>
  <c r="D97" i="20"/>
  <c r="C97" i="20"/>
  <c r="B96" i="20"/>
  <c r="C96" i="20"/>
  <c r="C95" i="20"/>
  <c r="C94" i="20"/>
  <c r="C47" i="16"/>
  <c r="C54" i="16"/>
  <c r="C53" i="16"/>
  <c r="C52" i="16"/>
  <c r="C51" i="16"/>
  <c r="C222" i="16" s="1"/>
  <c r="C50" i="16"/>
  <c r="C49" i="16"/>
  <c r="C48" i="16"/>
  <c r="C45" i="16"/>
  <c r="C43" i="16"/>
  <c r="C42" i="16"/>
  <c r="C41" i="16"/>
  <c r="C40" i="16"/>
  <c r="C221" i="16" s="1"/>
  <c r="C39" i="16"/>
  <c r="C220" i="16" s="1"/>
  <c r="C38" i="16"/>
  <c r="C219" i="16" s="1"/>
  <c r="E35" i="16"/>
  <c r="C34" i="16"/>
  <c r="B31" i="20"/>
  <c r="B41" i="20"/>
  <c r="C41" i="20" s="1"/>
  <c r="B46" i="20"/>
  <c r="B47" i="20"/>
  <c r="C45" i="20"/>
  <c r="C46" i="20"/>
  <c r="C44" i="20"/>
  <c r="C33" i="16" s="1"/>
  <c r="B113" i="20"/>
  <c r="C113" i="20"/>
  <c r="B116" i="20"/>
  <c r="B121" i="20"/>
  <c r="B128" i="20"/>
  <c r="B129" i="20" s="1"/>
  <c r="D128" i="20"/>
  <c r="C115" i="20"/>
  <c r="C116" i="20" s="1"/>
  <c r="C120" i="20"/>
  <c r="C121" i="20" s="1"/>
  <c r="C127" i="20"/>
  <c r="C126" i="20"/>
  <c r="B100" i="20"/>
  <c r="C100" i="20" s="1"/>
  <c r="C101" i="20"/>
  <c r="C106" i="20"/>
  <c r="B68" i="20"/>
  <c r="B91" i="20" s="1"/>
  <c r="B92" i="20" s="1"/>
  <c r="C90" i="20"/>
  <c r="C86" i="20"/>
  <c r="C83" i="20"/>
  <c r="C79" i="20"/>
  <c r="C76" i="20"/>
  <c r="C74" i="20"/>
  <c r="C73" i="20"/>
  <c r="C67" i="20"/>
  <c r="C66" i="20"/>
  <c r="C65" i="20"/>
  <c r="C60" i="20"/>
  <c r="C59" i="20"/>
  <c r="C58" i="20"/>
  <c r="C55" i="20"/>
  <c r="C57" i="20"/>
  <c r="C49" i="20"/>
  <c r="C39" i="20"/>
  <c r="C27" i="16" s="1"/>
  <c r="C37" i="20"/>
  <c r="C36" i="20"/>
  <c r="C24" i="16" s="1"/>
  <c r="C34" i="20"/>
  <c r="C33" i="20"/>
  <c r="C23" i="16" s="1"/>
  <c r="C31" i="20"/>
  <c r="C31" i="16" s="1"/>
  <c r="C19" i="16"/>
  <c r="C17" i="16"/>
  <c r="C15" i="16"/>
  <c r="C12" i="16"/>
  <c r="C6" i="16"/>
  <c r="D19" i="16"/>
  <c r="D47" i="20"/>
  <c r="D40" i="20"/>
  <c r="D42" i="20"/>
  <c r="D31" i="20"/>
  <c r="E11" i="20"/>
  <c r="D18" i="16" s="1"/>
  <c r="C11" i="20"/>
  <c r="C18" i="16" s="1"/>
  <c r="C5" i="20"/>
  <c r="C16" i="16" s="1"/>
  <c r="E5" i="20"/>
  <c r="D16" i="16" s="1"/>
  <c r="C25" i="20"/>
  <c r="C14" i="16" s="1"/>
  <c r="E25" i="20"/>
  <c r="D14" i="16" s="1"/>
  <c r="D18" i="20"/>
  <c r="E22" i="20" s="1"/>
  <c r="D13" i="16" s="1"/>
  <c r="B18" i="20"/>
  <c r="C22" i="20" s="1"/>
  <c r="C13" i="16" s="1"/>
  <c r="C15" i="20"/>
  <c r="C11" i="16" s="1"/>
  <c r="C14" i="20"/>
  <c r="C9" i="16" s="1"/>
  <c r="C13" i="20"/>
  <c r="C10" i="16" s="1"/>
  <c r="C12" i="20"/>
  <c r="C8" i="16" s="1"/>
  <c r="C8" i="20"/>
  <c r="C7" i="16" s="1"/>
  <c r="E23" i="20"/>
  <c r="D15" i="16" s="1"/>
  <c r="C56" i="1"/>
  <c r="B56" i="1"/>
  <c r="B69" i="1"/>
  <c r="C69" i="1"/>
  <c r="D68" i="1"/>
  <c r="B47" i="1"/>
  <c r="C47" i="1"/>
  <c r="C34" i="1"/>
  <c r="B34" i="1"/>
  <c r="C32" i="1"/>
  <c r="B32" i="1"/>
  <c r="C22" i="1"/>
  <c r="B22" i="1"/>
  <c r="C20" i="1"/>
  <c r="B20" i="1"/>
  <c r="C16" i="1"/>
  <c r="B16" i="1"/>
  <c r="C38" i="12"/>
  <c r="B38" i="12"/>
  <c r="C32" i="12"/>
  <c r="B32" i="12"/>
  <c r="C26" i="12"/>
  <c r="C41" i="12" s="1"/>
  <c r="B26" i="12"/>
  <c r="B41" i="12" s="1"/>
  <c r="C8" i="12"/>
  <c r="C11" i="12" s="1"/>
  <c r="C40" i="12" s="1"/>
  <c r="B8" i="12"/>
  <c r="B11" i="12" s="1"/>
  <c r="B40" i="12" s="1"/>
  <c r="C185" i="16" l="1"/>
  <c r="C189" i="16" s="1"/>
  <c r="C60" i="16"/>
  <c r="C210" i="16"/>
  <c r="C164" i="16"/>
  <c r="C174" i="16"/>
  <c r="C175" i="16" s="1"/>
  <c r="C209" i="16" s="1"/>
  <c r="C218" i="16"/>
  <c r="C67" i="16"/>
  <c r="C144" i="16"/>
  <c r="C150" i="16"/>
  <c r="C61" i="15"/>
  <c r="C87" i="16" s="1"/>
  <c r="C23" i="15"/>
  <c r="C76" i="16" s="1"/>
  <c r="C77" i="16"/>
  <c r="C31" i="15"/>
  <c r="C93" i="16"/>
  <c r="B414" i="15"/>
  <c r="C55" i="16"/>
  <c r="C56" i="16" s="1"/>
  <c r="C119" i="16"/>
  <c r="F194" i="15" s="1"/>
  <c r="C370" i="15"/>
  <c r="C237" i="15"/>
  <c r="B226" i="15"/>
  <c r="C200" i="15"/>
  <c r="B78" i="15"/>
  <c r="C47" i="20"/>
  <c r="C29" i="16" s="1"/>
  <c r="B50" i="20"/>
  <c r="B51" i="20" s="1"/>
  <c r="C128" i="20"/>
  <c r="C129" i="20" s="1"/>
  <c r="C130" i="20" s="1"/>
  <c r="C30" i="16"/>
  <c r="C50" i="20"/>
  <c r="B107" i="20"/>
  <c r="B108" i="20" s="1"/>
  <c r="C32" i="16"/>
  <c r="C25" i="16"/>
  <c r="C26" i="16"/>
  <c r="C28" i="16"/>
  <c r="C107" i="20"/>
  <c r="C68" i="20"/>
  <c r="C91" i="20" s="1"/>
  <c r="C20" i="16"/>
  <c r="B27" i="20"/>
  <c r="D27" i="20"/>
  <c r="D4" i="12" s="1"/>
  <c r="C27" i="20"/>
  <c r="C37" i="1"/>
  <c r="B37" i="1"/>
  <c r="C24" i="1"/>
  <c r="C39" i="1" s="1"/>
  <c r="B24" i="1"/>
  <c r="B71" i="1"/>
  <c r="C71" i="1"/>
  <c r="B39" i="1"/>
  <c r="B42" i="12"/>
  <c r="B44" i="12" s="1"/>
  <c r="B45" i="12" s="1"/>
  <c r="C42" i="12"/>
  <c r="C44" i="12" s="1"/>
  <c r="C45" i="12" s="1"/>
  <c r="C214" i="16" l="1"/>
  <c r="C253" i="16"/>
  <c r="C254" i="16" s="1"/>
  <c r="C21" i="16"/>
  <c r="C35" i="16"/>
  <c r="C208" i="16" s="1"/>
  <c r="C94" i="16"/>
  <c r="C78" i="16"/>
  <c r="B229" i="15"/>
  <c r="C229" i="15" s="1"/>
  <c r="C226" i="15"/>
  <c r="C78" i="15"/>
  <c r="D28" i="20"/>
  <c r="C73" i="1"/>
  <c r="B73" i="1"/>
  <c r="C36" i="16" l="1"/>
  <c r="C96" i="16"/>
  <c r="C213" i="16" s="1"/>
  <c r="C217" i="16" s="1"/>
  <c r="B228" i="15"/>
  <c r="C228" i="15" s="1"/>
  <c r="C223" i="16" l="1"/>
  <c r="C226" i="16" s="1"/>
  <c r="D6" i="21" l="1"/>
  <c r="D7" i="21"/>
  <c r="D26" i="21"/>
  <c r="E26" i="21" s="1"/>
  <c r="D24" i="21"/>
  <c r="E24" i="21" s="1"/>
  <c r="D23" i="21"/>
  <c r="E23" i="21" s="1"/>
  <c r="D25" i="21"/>
  <c r="E25" i="21" s="1"/>
  <c r="B27" i="22"/>
  <c r="E219" i="16"/>
  <c r="E21" i="22" s="1"/>
  <c r="F219" i="16"/>
  <c r="F21" i="22" s="1"/>
  <c r="G219" i="16"/>
  <c r="G21" i="22" s="1"/>
  <c r="H219" i="16"/>
  <c r="H21" i="22" s="1"/>
  <c r="I219" i="16"/>
  <c r="I21" i="22" s="1"/>
  <c r="J219" i="16"/>
  <c r="J21" i="22" s="1"/>
  <c r="E220" i="16"/>
  <c r="E22" i="22" s="1"/>
  <c r="F220" i="16"/>
  <c r="F22" i="22" s="1"/>
  <c r="G220" i="16"/>
  <c r="G22" i="22" s="1"/>
  <c r="H220" i="16"/>
  <c r="H22" i="22" s="1"/>
  <c r="I220" i="16"/>
  <c r="I22" i="22" s="1"/>
  <c r="J220" i="16"/>
  <c r="J22" i="22" s="1"/>
  <c r="E221" i="16"/>
  <c r="E23" i="22" s="1"/>
  <c r="F221" i="16"/>
  <c r="F23" i="22" s="1"/>
  <c r="G221" i="16"/>
  <c r="G23" i="22" s="1"/>
  <c r="H221" i="16"/>
  <c r="H23" i="22" s="1"/>
  <c r="I221" i="16"/>
  <c r="I23" i="22" s="1"/>
  <c r="J221" i="16"/>
  <c r="J23" i="22" s="1"/>
  <c r="E222" i="16"/>
  <c r="E24" i="22" s="1"/>
  <c r="F222" i="16"/>
  <c r="F24" i="22" s="1"/>
  <c r="G222" i="16"/>
  <c r="G24" i="22" s="1"/>
  <c r="H222" i="16"/>
  <c r="H24" i="22" s="1"/>
  <c r="I222" i="16"/>
  <c r="I24" i="22" s="1"/>
  <c r="J222" i="16"/>
  <c r="J24" i="22" s="1"/>
  <c r="B222" i="16"/>
  <c r="B24" i="22" s="1"/>
  <c r="B220" i="16"/>
  <c r="B22" i="22" s="1"/>
  <c r="B221" i="16"/>
  <c r="B23" i="22" s="1"/>
  <c r="B219" i="16"/>
  <c r="B21" i="22" s="1"/>
  <c r="J225" i="16"/>
  <c r="J27" i="22" s="1"/>
  <c r="K225" i="16"/>
  <c r="K27" i="22" s="1"/>
  <c r="F210" i="16"/>
  <c r="F12" i="22" s="1"/>
  <c r="G210" i="16"/>
  <c r="G12" i="22" s="1"/>
  <c r="H210" i="16"/>
  <c r="H12" i="22" s="1"/>
  <c r="I210" i="16"/>
  <c r="I12" i="22" s="1"/>
  <c r="J210" i="16"/>
  <c r="J12" i="22" s="1"/>
  <c r="E210" i="16"/>
  <c r="E12" i="22" s="1"/>
  <c r="B225" i="16"/>
  <c r="K6" i="16"/>
  <c r="G185" i="16"/>
  <c r="G189" i="16" s="1"/>
  <c r="G174" i="16"/>
  <c r="G169" i="16"/>
  <c r="G164" i="16"/>
  <c r="G150" i="16"/>
  <c r="G144" i="16"/>
  <c r="G134" i="16"/>
  <c r="G126" i="16"/>
  <c r="G119" i="16"/>
  <c r="G94" i="16"/>
  <c r="G78" i="16"/>
  <c r="G67" i="16"/>
  <c r="G55" i="16"/>
  <c r="G35" i="16"/>
  <c r="G20" i="16"/>
  <c r="C7" i="21"/>
  <c r="C6" i="21"/>
  <c r="K187" i="16"/>
  <c r="K184" i="16"/>
  <c r="K183" i="16"/>
  <c r="K180" i="16"/>
  <c r="K173" i="16"/>
  <c r="K172" i="16"/>
  <c r="K171" i="16"/>
  <c r="K168" i="16"/>
  <c r="K169" i="16" s="1"/>
  <c r="K162" i="16"/>
  <c r="K161" i="16"/>
  <c r="K160" i="16"/>
  <c r="K159" i="16"/>
  <c r="K158" i="16"/>
  <c r="K157" i="16"/>
  <c r="K156" i="16"/>
  <c r="K155" i="16"/>
  <c r="K154" i="16"/>
  <c r="K149" i="16"/>
  <c r="K148" i="16"/>
  <c r="K143" i="16"/>
  <c r="K142" i="16"/>
  <c r="K141" i="16"/>
  <c r="K140" i="16"/>
  <c r="K139" i="16"/>
  <c r="K138" i="16"/>
  <c r="K132" i="16"/>
  <c r="K131" i="16"/>
  <c r="K130" i="16"/>
  <c r="K125" i="16"/>
  <c r="K124" i="16"/>
  <c r="K123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3" i="16"/>
  <c r="K92" i="16"/>
  <c r="K91" i="16"/>
  <c r="K90" i="16"/>
  <c r="K89" i="16"/>
  <c r="K88" i="16"/>
  <c r="K87" i="16"/>
  <c r="K86" i="16"/>
  <c r="K85" i="16"/>
  <c r="K84" i="16"/>
  <c r="K83" i="16"/>
  <c r="K77" i="16"/>
  <c r="K76" i="16"/>
  <c r="K75" i="16"/>
  <c r="K74" i="16"/>
  <c r="K73" i="16"/>
  <c r="K66" i="16"/>
  <c r="K65" i="16"/>
  <c r="K64" i="16"/>
  <c r="K63" i="16"/>
  <c r="K59" i="16"/>
  <c r="K58" i="16"/>
  <c r="K54" i="16"/>
  <c r="K53" i="16"/>
  <c r="K52" i="16"/>
  <c r="K51" i="16"/>
  <c r="K222" i="16" s="1"/>
  <c r="K24" i="22" s="1"/>
  <c r="K50" i="16"/>
  <c r="K49" i="16"/>
  <c r="K48" i="16"/>
  <c r="K47" i="16"/>
  <c r="K46" i="16"/>
  <c r="K45" i="16"/>
  <c r="K44" i="16"/>
  <c r="K43" i="16"/>
  <c r="K42" i="16"/>
  <c r="K41" i="16"/>
  <c r="K40" i="16"/>
  <c r="K221" i="16" s="1"/>
  <c r="K23" i="22" s="1"/>
  <c r="K39" i="16"/>
  <c r="K220" i="16" s="1"/>
  <c r="K22" i="22" s="1"/>
  <c r="K38" i="16"/>
  <c r="K24" i="16"/>
  <c r="K25" i="16"/>
  <c r="K26" i="16"/>
  <c r="K27" i="16"/>
  <c r="K28" i="16"/>
  <c r="K29" i="16"/>
  <c r="K30" i="16"/>
  <c r="K31" i="16"/>
  <c r="K32" i="16"/>
  <c r="K33" i="16"/>
  <c r="K23" i="16"/>
  <c r="K15" i="16"/>
  <c r="K16" i="16"/>
  <c r="K17" i="16"/>
  <c r="K18" i="16"/>
  <c r="K14" i="16"/>
  <c r="K13" i="16"/>
  <c r="K12" i="16"/>
  <c r="K11" i="16"/>
  <c r="K10" i="16"/>
  <c r="K9" i="16"/>
  <c r="K8" i="16"/>
  <c r="K7" i="16"/>
  <c r="J67" i="16"/>
  <c r="I67" i="16"/>
  <c r="H67" i="16"/>
  <c r="J55" i="16"/>
  <c r="I55" i="16"/>
  <c r="H55" i="16"/>
  <c r="J35" i="16"/>
  <c r="I35" i="16"/>
  <c r="H35" i="16"/>
  <c r="J20" i="16"/>
  <c r="I20" i="16"/>
  <c r="H20" i="16"/>
  <c r="J174" i="16"/>
  <c r="I174" i="16"/>
  <c r="H174" i="16"/>
  <c r="J169" i="16"/>
  <c r="I169" i="16"/>
  <c r="H169" i="16"/>
  <c r="F29" i="12"/>
  <c r="D168" i="16"/>
  <c r="D169" i="16" s="1"/>
  <c r="E127" i="20"/>
  <c r="D173" i="16" s="1"/>
  <c r="E125" i="20"/>
  <c r="D172" i="16" s="1"/>
  <c r="E120" i="20"/>
  <c r="D121" i="20"/>
  <c r="D116" i="20"/>
  <c r="D113" i="20"/>
  <c r="E174" i="16"/>
  <c r="E169" i="16"/>
  <c r="E100" i="20"/>
  <c r="E101" i="20"/>
  <c r="D63" i="16" s="1"/>
  <c r="E104" i="20"/>
  <c r="D65" i="16" s="1"/>
  <c r="E106" i="20"/>
  <c r="D66" i="16" s="1"/>
  <c r="D107" i="20"/>
  <c r="E67" i="16"/>
  <c r="E60" i="16"/>
  <c r="E59" i="16" s="1"/>
  <c r="E90" i="20"/>
  <c r="D91" i="20"/>
  <c r="D92" i="20" s="1"/>
  <c r="D96" i="20"/>
  <c r="D129" i="20" l="1"/>
  <c r="E129" i="20"/>
  <c r="E130" i="20" s="1"/>
  <c r="E128" i="20"/>
  <c r="D171" i="16"/>
  <c r="D30" i="12" s="1"/>
  <c r="E7" i="21"/>
  <c r="E6" i="21"/>
  <c r="J218" i="16"/>
  <c r="J20" i="22" s="1"/>
  <c r="I218" i="16"/>
  <c r="I20" i="22" s="1"/>
  <c r="F218" i="16"/>
  <c r="F20" i="22" s="1"/>
  <c r="K218" i="16"/>
  <c r="K20" i="22" s="1"/>
  <c r="H218" i="16"/>
  <c r="H20" i="22" s="1"/>
  <c r="G218" i="16"/>
  <c r="G20" i="22" s="1"/>
  <c r="F208" i="16"/>
  <c r="F10" i="22" s="1"/>
  <c r="E218" i="16"/>
  <c r="E20" i="22" s="1"/>
  <c r="K219" i="16"/>
  <c r="K21" i="22" s="1"/>
  <c r="G214" i="16"/>
  <c r="G16" i="22" s="1"/>
  <c r="H208" i="16"/>
  <c r="H10" i="22" s="1"/>
  <c r="I208" i="16"/>
  <c r="I10" i="22" s="1"/>
  <c r="G208" i="16"/>
  <c r="G10" i="22" s="1"/>
  <c r="J208" i="16"/>
  <c r="J10" i="22" s="1"/>
  <c r="K210" i="16"/>
  <c r="K12" i="22" s="1"/>
  <c r="G96" i="16"/>
  <c r="G175" i="16"/>
  <c r="G209" i="16" s="1"/>
  <c r="G11" i="22" s="1"/>
  <c r="D31" i="12"/>
  <c r="K35" i="16"/>
  <c r="J175" i="16"/>
  <c r="J209" i="16" s="1"/>
  <c r="J11" i="22" s="1"/>
  <c r="K67" i="16"/>
  <c r="K174" i="16"/>
  <c r="K175" i="16" s="1"/>
  <c r="K209" i="16" s="1"/>
  <c r="K11" i="22" s="1"/>
  <c r="I175" i="16"/>
  <c r="I209" i="16" s="1"/>
  <c r="I11" i="22" s="1"/>
  <c r="D29" i="12"/>
  <c r="K20" i="16"/>
  <c r="F209" i="16"/>
  <c r="F11" i="22" s="1"/>
  <c r="H175" i="16"/>
  <c r="H209" i="16" s="1"/>
  <c r="H11" i="22" s="1"/>
  <c r="E175" i="16"/>
  <c r="E209" i="16" s="1"/>
  <c r="E11" i="22" s="1"/>
  <c r="E107" i="20"/>
  <c r="D64" i="16"/>
  <c r="D67" i="16" s="1"/>
  <c r="D7" i="12" s="1"/>
  <c r="E94" i="20"/>
  <c r="D37" i="20"/>
  <c r="E37" i="20" s="1"/>
  <c r="D25" i="16" s="1"/>
  <c r="E41" i="20"/>
  <c r="D28" i="16" s="1"/>
  <c r="E31" i="20"/>
  <c r="D31" i="16" s="1"/>
  <c r="D49" i="20"/>
  <c r="E49" i="20" s="1"/>
  <c r="D32" i="16" s="1"/>
  <c r="E46" i="20"/>
  <c r="D30" i="16" s="1"/>
  <c r="E95" i="20"/>
  <c r="E57" i="20"/>
  <c r="D39" i="16" s="1"/>
  <c r="D220" i="16" s="1"/>
  <c r="D22" i="22" s="1"/>
  <c r="E55" i="20"/>
  <c r="E58" i="20"/>
  <c r="D51" i="16" s="1"/>
  <c r="D222" i="16" s="1"/>
  <c r="D24" i="22" s="1"/>
  <c r="E59" i="20"/>
  <c r="D40" i="16" s="1"/>
  <c r="D221" i="16" s="1"/>
  <c r="D23" i="22" s="1"/>
  <c r="E60" i="20"/>
  <c r="E65" i="20"/>
  <c r="D48" i="16" s="1"/>
  <c r="E66" i="20"/>
  <c r="D50" i="16" s="1"/>
  <c r="E67" i="20"/>
  <c r="D43" i="16" s="1"/>
  <c r="E68" i="20"/>
  <c r="D45" i="16" s="1"/>
  <c r="E73" i="20"/>
  <c r="D42" i="16" s="1"/>
  <c r="E74" i="20"/>
  <c r="D49" i="16" s="1"/>
  <c r="E76" i="20"/>
  <c r="D53" i="16" s="1"/>
  <c r="E79" i="20"/>
  <c r="D47" i="16" s="1"/>
  <c r="E83" i="20"/>
  <c r="D52" i="16" s="1"/>
  <c r="E86" i="20"/>
  <c r="D41" i="16" s="1"/>
  <c r="E55" i="16"/>
  <c r="E39" i="20"/>
  <c r="D27" i="16" s="1"/>
  <c r="E36" i="20"/>
  <c r="D24" i="16" s="1"/>
  <c r="E34" i="20"/>
  <c r="D26" i="16" s="1"/>
  <c r="E33" i="20"/>
  <c r="D23" i="16" s="1"/>
  <c r="E44" i="20"/>
  <c r="D33" i="16" s="1"/>
  <c r="E24" i="20"/>
  <c r="D17" i="16" s="1"/>
  <c r="E15" i="20"/>
  <c r="D11" i="16" s="1"/>
  <c r="E14" i="20"/>
  <c r="D9" i="16" s="1"/>
  <c r="E13" i="20"/>
  <c r="D10" i="16" s="1"/>
  <c r="E12" i="20"/>
  <c r="D8" i="16" s="1"/>
  <c r="E9" i="20"/>
  <c r="D12" i="16" s="1"/>
  <c r="E8" i="20"/>
  <c r="D7" i="16" s="1"/>
  <c r="E6" i="20"/>
  <c r="D6" i="16" s="1"/>
  <c r="E20" i="16"/>
  <c r="I185" i="16"/>
  <c r="H185" i="16"/>
  <c r="K185" i="16"/>
  <c r="J185" i="16"/>
  <c r="K164" i="16"/>
  <c r="J164" i="16"/>
  <c r="I164" i="16"/>
  <c r="H164" i="16"/>
  <c r="F164" i="16"/>
  <c r="E354" i="15"/>
  <c r="E355" i="15"/>
  <c r="C386" i="15"/>
  <c r="A382" i="15"/>
  <c r="A381" i="15"/>
  <c r="C380" i="15"/>
  <c r="D380" i="15" s="1"/>
  <c r="A379" i="15"/>
  <c r="A378" i="15"/>
  <c r="C377" i="15"/>
  <c r="D377" i="15" s="1"/>
  <c r="A372" i="15"/>
  <c r="D157" i="16"/>
  <c r="E350" i="15"/>
  <c r="E360" i="15"/>
  <c r="E353" i="15"/>
  <c r="D160" i="16" s="1"/>
  <c r="E344" i="15"/>
  <c r="D155" i="16" s="1"/>
  <c r="E341" i="15"/>
  <c r="D154" i="16" s="1"/>
  <c r="E164" i="16"/>
  <c r="E222" i="15"/>
  <c r="E221" i="15"/>
  <c r="D142" i="16" s="1"/>
  <c r="E224" i="15"/>
  <c r="D143" i="16" s="1"/>
  <c r="E317" i="15"/>
  <c r="E30" i="15"/>
  <c r="D75" i="16" s="1"/>
  <c r="E25" i="15"/>
  <c r="D20" i="16" l="1"/>
  <c r="D386" i="15"/>
  <c r="E368" i="15"/>
  <c r="E367" i="15" s="1"/>
  <c r="E27" i="20"/>
  <c r="D38" i="16"/>
  <c r="D219" i="16" s="1"/>
  <c r="D21" i="22" s="1"/>
  <c r="C12" i="21"/>
  <c r="G15" i="22"/>
  <c r="G211" i="16"/>
  <c r="G13" i="22" s="1"/>
  <c r="J211" i="16"/>
  <c r="J13" i="22" s="1"/>
  <c r="H211" i="16"/>
  <c r="H13" i="22" s="1"/>
  <c r="I211" i="16"/>
  <c r="I13" i="22" s="1"/>
  <c r="F211" i="16"/>
  <c r="F13" i="22" s="1"/>
  <c r="D210" i="16"/>
  <c r="D12" i="22" s="1"/>
  <c r="K208" i="16"/>
  <c r="K10" i="22" s="1"/>
  <c r="E208" i="16"/>
  <c r="E10" i="22" s="1"/>
  <c r="D58" i="16"/>
  <c r="D60" i="16" s="1"/>
  <c r="D6" i="12" s="1"/>
  <c r="C11" i="21" s="1"/>
  <c r="E96" i="20"/>
  <c r="D50" i="20"/>
  <c r="E47" i="20"/>
  <c r="D29" i="16" s="1"/>
  <c r="D35" i="16" s="1"/>
  <c r="E91" i="20"/>
  <c r="D54" i="16"/>
  <c r="D156" i="16"/>
  <c r="E349" i="15"/>
  <c r="D159" i="16" s="1"/>
  <c r="C387" i="15"/>
  <c r="D162" i="16" l="1"/>
  <c r="D218" i="16"/>
  <c r="D20" i="22" s="1"/>
  <c r="D55" i="16"/>
  <c r="D8" i="12" s="1"/>
  <c r="K211" i="16"/>
  <c r="K13" i="22" s="1"/>
  <c r="E211" i="16"/>
  <c r="E13" i="22" s="1"/>
  <c r="G217" i="16"/>
  <c r="G19" i="22" s="1"/>
  <c r="G215" i="16"/>
  <c r="G17" i="22" s="1"/>
  <c r="D208" i="16"/>
  <c r="D5" i="12"/>
  <c r="E50" i="20"/>
  <c r="D161" i="16"/>
  <c r="E348" i="15"/>
  <c r="D158" i="16" s="1"/>
  <c r="D10" i="22" l="1"/>
  <c r="E370" i="15"/>
  <c r="D56" i="16"/>
  <c r="G223" i="16"/>
  <c r="D36" i="16"/>
  <c r="C10" i="21"/>
  <c r="D21" i="16"/>
  <c r="C9" i="21"/>
  <c r="E51" i="20"/>
  <c r="D164" i="16"/>
  <c r="G25" i="22" l="1"/>
  <c r="C18" i="21"/>
  <c r="E18" i="21" s="1"/>
  <c r="C335" i="15"/>
  <c r="E307" i="15"/>
  <c r="D109" i="16"/>
  <c r="D108" i="16"/>
  <c r="D107" i="16"/>
  <c r="D106" i="16"/>
  <c r="D105" i="16"/>
  <c r="E268" i="15"/>
  <c r="D102" i="16" s="1"/>
  <c r="E251" i="15"/>
  <c r="H20" i="19"/>
  <c r="H19" i="19" s="1"/>
  <c r="K19" i="19" s="1"/>
  <c r="G20" i="19"/>
  <c r="E20" i="19"/>
  <c r="D20" i="19"/>
  <c r="C20" i="19"/>
  <c r="L19" i="19"/>
  <c r="J19" i="19"/>
  <c r="L18" i="19"/>
  <c r="K18" i="19"/>
  <c r="J18" i="19"/>
  <c r="L17" i="19"/>
  <c r="K17" i="19"/>
  <c r="J17" i="19"/>
  <c r="L16" i="19"/>
  <c r="K16" i="19"/>
  <c r="J16" i="19"/>
  <c r="L15" i="19"/>
  <c r="K15" i="19"/>
  <c r="J15" i="19"/>
  <c r="L14" i="19"/>
  <c r="K14" i="19"/>
  <c r="J14" i="19"/>
  <c r="L13" i="19"/>
  <c r="K13" i="19"/>
  <c r="J13" i="19"/>
  <c r="L12" i="19"/>
  <c r="K12" i="19"/>
  <c r="J12" i="19"/>
  <c r="L11" i="19"/>
  <c r="K11" i="19"/>
  <c r="J11" i="19"/>
  <c r="L10" i="19"/>
  <c r="K10" i="19"/>
  <c r="J10" i="19"/>
  <c r="L9" i="19"/>
  <c r="K9" i="19"/>
  <c r="J9" i="19"/>
  <c r="L8" i="19"/>
  <c r="K8" i="19"/>
  <c r="J8" i="19"/>
  <c r="L7" i="19"/>
  <c r="K7" i="19"/>
  <c r="J7" i="19"/>
  <c r="L6" i="19"/>
  <c r="K6" i="19"/>
  <c r="J6" i="19"/>
  <c r="L5" i="19"/>
  <c r="K5" i="19"/>
  <c r="J5" i="19"/>
  <c r="L4" i="19"/>
  <c r="K4" i="19"/>
  <c r="J4" i="19"/>
  <c r="K51" i="10"/>
  <c r="L51" i="10" s="1"/>
  <c r="K49" i="10"/>
  <c r="L49" i="10" s="1"/>
  <c r="K48" i="10"/>
  <c r="L48" i="10" s="1"/>
  <c r="R40" i="10"/>
  <c r="K39" i="10"/>
  <c r="L39" i="10" s="1"/>
  <c r="K37" i="10"/>
  <c r="L37" i="10" s="1"/>
  <c r="K36" i="10"/>
  <c r="L36" i="10" s="1"/>
  <c r="K35" i="10"/>
  <c r="L35" i="10" s="1"/>
  <c r="R27" i="10"/>
  <c r="Q27" i="10"/>
  <c r="P27" i="10"/>
  <c r="O27" i="10"/>
  <c r="N27" i="10"/>
  <c r="M27" i="10"/>
  <c r="L27" i="10"/>
  <c r="K27" i="10"/>
  <c r="J27" i="10"/>
  <c r="M44" i="7"/>
  <c r="M38" i="7"/>
  <c r="N38" i="7" s="1"/>
  <c r="M36" i="7"/>
  <c r="M35" i="7"/>
  <c r="T22" i="7"/>
  <c r="M18" i="7"/>
  <c r="N18" i="7" s="1"/>
  <c r="M16" i="7"/>
  <c r="N16" i="7" s="1"/>
  <c r="M15" i="7"/>
  <c r="N15" i="7" s="1"/>
  <c r="O15" i="7" s="1"/>
  <c r="P15" i="7" s="1"/>
  <c r="Q15" i="7" s="1"/>
  <c r="R15" i="7" s="1"/>
  <c r="S15" i="7" s="1"/>
  <c r="M14" i="7"/>
  <c r="N14" i="7" s="1"/>
  <c r="O14" i="7" s="1"/>
  <c r="P14" i="7" s="1"/>
  <c r="Q14" i="7" s="1"/>
  <c r="R14" i="7" s="1"/>
  <c r="S14" i="7" s="1"/>
  <c r="M3" i="7"/>
  <c r="N3" i="7"/>
  <c r="O3" i="7"/>
  <c r="P3" i="7"/>
  <c r="Q3" i="7"/>
  <c r="R3" i="7"/>
  <c r="S3" i="7"/>
  <c r="T3" i="7"/>
  <c r="L3" i="7"/>
  <c r="J15" i="4"/>
  <c r="K15" i="4"/>
  <c r="L15" i="4" s="1"/>
  <c r="M15" i="4" s="1"/>
  <c r="N15" i="4" s="1"/>
  <c r="O15" i="4" s="1"/>
  <c r="I15" i="4"/>
  <c r="J14" i="4"/>
  <c r="K14" i="4" s="1"/>
  <c r="L14" i="4" s="1"/>
  <c r="M14" i="4" s="1"/>
  <c r="N14" i="4" s="1"/>
  <c r="O14" i="4" s="1"/>
  <c r="I14" i="4"/>
  <c r="J7" i="4"/>
  <c r="K7" i="4" s="1"/>
  <c r="L7" i="4" s="1"/>
  <c r="M7" i="4" s="1"/>
  <c r="N7" i="4" s="1"/>
  <c r="O7" i="4" s="1"/>
  <c r="I7" i="4"/>
  <c r="J6" i="4"/>
  <c r="K6" i="4" s="1"/>
  <c r="L6" i="4" s="1"/>
  <c r="M6" i="4" s="1"/>
  <c r="N6" i="4" s="1"/>
  <c r="O6" i="4" s="1"/>
  <c r="I6" i="4"/>
  <c r="J5" i="4"/>
  <c r="K5" i="4" s="1"/>
  <c r="L5" i="4" s="1"/>
  <c r="M5" i="4" s="1"/>
  <c r="N5" i="4" s="1"/>
  <c r="O5" i="4" s="1"/>
  <c r="I5" i="4"/>
  <c r="Q15" i="4"/>
  <c r="Q14" i="4"/>
  <c r="Q5" i="4"/>
  <c r="Q6" i="4"/>
  <c r="Q7" i="4"/>
  <c r="J3" i="4"/>
  <c r="K3" i="4" s="1"/>
  <c r="L3" i="4" s="1"/>
  <c r="M3" i="4" s="1"/>
  <c r="N3" i="4" s="1"/>
  <c r="O3" i="4" s="1"/>
  <c r="I3" i="4"/>
  <c r="Q3" i="4"/>
  <c r="P15" i="4"/>
  <c r="P14" i="4"/>
  <c r="P5" i="4"/>
  <c r="P6" i="4"/>
  <c r="P7" i="4"/>
  <c r="H15" i="4"/>
  <c r="H14" i="4"/>
  <c r="H5" i="4"/>
  <c r="H6" i="4"/>
  <c r="H7" i="4"/>
  <c r="P3" i="4"/>
  <c r="H3" i="4"/>
  <c r="I18" i="3"/>
  <c r="J18" i="3" s="1"/>
  <c r="K18" i="3" s="1"/>
  <c r="L18" i="3" s="1"/>
  <c r="M18" i="3" s="1"/>
  <c r="N18" i="3" s="1"/>
  <c r="O18" i="3" s="1"/>
  <c r="P18" i="3" s="1"/>
  <c r="H18" i="3"/>
  <c r="I16" i="3"/>
  <c r="J16" i="3" s="1"/>
  <c r="K16" i="3" s="1"/>
  <c r="L16" i="3" s="1"/>
  <c r="M16" i="3" s="1"/>
  <c r="N16" i="3" s="1"/>
  <c r="O16" i="3" s="1"/>
  <c r="P16" i="3" s="1"/>
  <c r="H16" i="3"/>
  <c r="I14" i="3"/>
  <c r="J14" i="3" s="1"/>
  <c r="K14" i="3" s="1"/>
  <c r="L14" i="3" s="1"/>
  <c r="M14" i="3" s="1"/>
  <c r="N14" i="3" s="1"/>
  <c r="O14" i="3" s="1"/>
  <c r="P14" i="3" s="1"/>
  <c r="Q14" i="3" s="1"/>
  <c r="R14" i="3" s="1"/>
  <c r="Q18" i="3"/>
  <c r="R18" i="3" s="1"/>
  <c r="Q16" i="3"/>
  <c r="R16" i="3" s="1"/>
  <c r="I4" i="3"/>
  <c r="J4" i="3" s="1"/>
  <c r="K4" i="3" s="1"/>
  <c r="L4" i="3" s="1"/>
  <c r="M4" i="3" s="1"/>
  <c r="N4" i="3" s="1"/>
  <c r="O4" i="3" s="1"/>
  <c r="P4" i="3" s="1"/>
  <c r="H4" i="3"/>
  <c r="Q4" i="3"/>
  <c r="R4" i="3"/>
  <c r="G4" i="3"/>
  <c r="I2" i="3"/>
  <c r="J2" i="3" s="1"/>
  <c r="K2" i="3" s="1"/>
  <c r="L2" i="3" s="1"/>
  <c r="M2" i="3" s="1"/>
  <c r="N2" i="3" s="1"/>
  <c r="O2" i="3" s="1"/>
  <c r="P2" i="3" s="1"/>
  <c r="H2" i="3"/>
  <c r="R2" i="3"/>
  <c r="G2" i="3"/>
  <c r="Q2" i="3"/>
  <c r="L15" i="5"/>
  <c r="L14" i="5"/>
  <c r="L5" i="5"/>
  <c r="L6" i="5"/>
  <c r="L4" i="5"/>
  <c r="L7" i="5"/>
  <c r="L3" i="5"/>
  <c r="E278" i="15"/>
  <c r="D110" i="16" s="1"/>
  <c r="E282" i="15"/>
  <c r="D111" i="16" s="1"/>
  <c r="E285" i="15"/>
  <c r="D112" i="16" s="1"/>
  <c r="E286" i="15"/>
  <c r="D113" i="16" s="1"/>
  <c r="E290" i="15"/>
  <c r="D114" i="16" s="1"/>
  <c r="E256" i="15"/>
  <c r="D104" i="16" s="1"/>
  <c r="E252" i="15"/>
  <c r="D237" i="15"/>
  <c r="E232" i="15"/>
  <c r="D148" i="16"/>
  <c r="E250" i="15" l="1"/>
  <c r="D101" i="16"/>
  <c r="K20" i="19"/>
  <c r="M35" i="10"/>
  <c r="N35" i="10" s="1"/>
  <c r="O35" i="10" s="1"/>
  <c r="P35" i="10" s="1"/>
  <c r="Q35" i="10" s="1"/>
  <c r="M36" i="10"/>
  <c r="N36" i="10" s="1"/>
  <c r="O36" i="10" s="1"/>
  <c r="P36" i="10" s="1"/>
  <c r="Q36" i="10" s="1"/>
  <c r="M37" i="10"/>
  <c r="N37" i="10" s="1"/>
  <c r="O37" i="10" s="1"/>
  <c r="P37" i="10" s="1"/>
  <c r="Q37" i="10" s="1"/>
  <c r="M49" i="10"/>
  <c r="N49" i="10" s="1"/>
  <c r="O49" i="10" s="1"/>
  <c r="P49" i="10" s="1"/>
  <c r="Q49" i="10" s="1"/>
  <c r="R49" i="10"/>
  <c r="M39" i="10"/>
  <c r="N39" i="10" s="1"/>
  <c r="O39" i="10" s="1"/>
  <c r="P39" i="10" s="1"/>
  <c r="Q39" i="10" s="1"/>
  <c r="M48" i="10"/>
  <c r="N48" i="10" s="1"/>
  <c r="O48" i="10" s="1"/>
  <c r="P48" i="10" s="1"/>
  <c r="Q48" i="10" s="1"/>
  <c r="M51" i="10"/>
  <c r="N51" i="10" s="1"/>
  <c r="O51" i="10" s="1"/>
  <c r="P51" i="10" s="1"/>
  <c r="Q51" i="10" s="1"/>
  <c r="N36" i="7"/>
  <c r="O36" i="7" s="1"/>
  <c r="P36" i="7" s="1"/>
  <c r="Q36" i="7" s="1"/>
  <c r="R36" i="7" s="1"/>
  <c r="S36" i="7" s="1"/>
  <c r="O38" i="7"/>
  <c r="P38" i="7" s="1"/>
  <c r="Q38" i="7" s="1"/>
  <c r="R38" i="7" s="1"/>
  <c r="S38" i="7" s="1"/>
  <c r="T15" i="7"/>
  <c r="N35" i="7"/>
  <c r="O35" i="7" s="1"/>
  <c r="P35" i="7" s="1"/>
  <c r="Q35" i="7" s="1"/>
  <c r="R35" i="7" s="1"/>
  <c r="S35" i="7" s="1"/>
  <c r="T14" i="7"/>
  <c r="N44" i="7"/>
  <c r="O44" i="7" s="1"/>
  <c r="P44" i="7" s="1"/>
  <c r="Q44" i="7" s="1"/>
  <c r="R44" i="7" s="1"/>
  <c r="S44" i="7" s="1"/>
  <c r="O18" i="7"/>
  <c r="P18" i="7" s="1"/>
  <c r="Q18" i="7" s="1"/>
  <c r="R18" i="7" s="1"/>
  <c r="S18" i="7" s="1"/>
  <c r="O16" i="7"/>
  <c r="P16" i="7" s="1"/>
  <c r="Q16" i="7" s="1"/>
  <c r="R16" i="7" s="1"/>
  <c r="S16" i="7" s="1"/>
  <c r="T16" i="7" s="1"/>
  <c r="E237" i="15"/>
  <c r="D149" i="16"/>
  <c r="D100" i="16" l="1"/>
  <c r="R48" i="10"/>
  <c r="R36" i="10"/>
  <c r="R35" i="10"/>
  <c r="R51" i="10"/>
  <c r="R37" i="10"/>
  <c r="R39" i="10"/>
  <c r="T36" i="7"/>
  <c r="T35" i="7"/>
  <c r="T38" i="7"/>
  <c r="T44" i="7"/>
  <c r="T18" i="7"/>
  <c r="C329" i="15"/>
  <c r="D329" i="15" s="1"/>
  <c r="E316" i="15" s="1"/>
  <c r="E150" i="15"/>
  <c r="E132" i="15"/>
  <c r="E135" i="15"/>
  <c r="E151" i="15"/>
  <c r="E152" i="15"/>
  <c r="E153" i="15"/>
  <c r="E154" i="15"/>
  <c r="E155" i="15"/>
  <c r="E158" i="15"/>
  <c r="E162" i="15"/>
  <c r="E165" i="15"/>
  <c r="E166" i="15"/>
  <c r="E170" i="15"/>
  <c r="E188" i="15"/>
  <c r="E199" i="15"/>
  <c r="B109" i="15"/>
  <c r="E69" i="15"/>
  <c r="E73" i="15"/>
  <c r="E75" i="15"/>
  <c r="D89" i="16" s="1"/>
  <c r="E76" i="15"/>
  <c r="E26" i="15"/>
  <c r="D74" i="16" s="1"/>
  <c r="D318" i="15"/>
  <c r="E119" i="16"/>
  <c r="F24" i="12"/>
  <c r="D19" i="12"/>
  <c r="D18" i="12"/>
  <c r="D17" i="12"/>
  <c r="I189" i="16"/>
  <c r="J189" i="16"/>
  <c r="K189" i="16"/>
  <c r="K150" i="16"/>
  <c r="F150" i="16"/>
  <c r="J150" i="16"/>
  <c r="I150" i="16"/>
  <c r="H150" i="16"/>
  <c r="J144" i="16"/>
  <c r="I144" i="16"/>
  <c r="K144" i="16"/>
  <c r="H144" i="16"/>
  <c r="K134" i="16"/>
  <c r="H134" i="16"/>
  <c r="F16" i="22"/>
  <c r="J134" i="16"/>
  <c r="J214" i="16" s="1"/>
  <c r="J16" i="22" s="1"/>
  <c r="I134" i="16"/>
  <c r="K126" i="16"/>
  <c r="J126" i="16"/>
  <c r="I126" i="16"/>
  <c r="H126" i="16"/>
  <c r="K119" i="16"/>
  <c r="J119" i="16"/>
  <c r="I119" i="16"/>
  <c r="H119" i="16"/>
  <c r="J94" i="16"/>
  <c r="K94" i="16"/>
  <c r="I94" i="16"/>
  <c r="H94" i="16"/>
  <c r="K78" i="16"/>
  <c r="J78" i="16"/>
  <c r="I78" i="16"/>
  <c r="H78" i="16"/>
  <c r="H214" i="16" l="1"/>
  <c r="H16" i="22" s="1"/>
  <c r="K214" i="16"/>
  <c r="K16" i="22" s="1"/>
  <c r="I214" i="16"/>
  <c r="I16" i="22" s="1"/>
  <c r="D118" i="16"/>
  <c r="E315" i="15"/>
  <c r="D117" i="16" s="1"/>
  <c r="I96" i="16"/>
  <c r="F213" i="16"/>
  <c r="J96" i="16"/>
  <c r="H96" i="16"/>
  <c r="K96" i="16"/>
  <c r="H189" i="16"/>
  <c r="K215" i="16" l="1"/>
  <c r="K17" i="22" s="1"/>
  <c r="F15" i="22"/>
  <c r="J15" i="22"/>
  <c r="F217" i="16"/>
  <c r="H15" i="22"/>
  <c r="I15" i="22"/>
  <c r="D397" i="15"/>
  <c r="E397" i="15" s="1"/>
  <c r="D180" i="16" s="1"/>
  <c r="D403" i="15"/>
  <c r="E403" i="15" s="1"/>
  <c r="D183" i="16" s="1"/>
  <c r="D409" i="15"/>
  <c r="D413" i="15"/>
  <c r="E413" i="15" s="1"/>
  <c r="D187" i="16" s="1"/>
  <c r="D212" i="15"/>
  <c r="E212" i="15" s="1"/>
  <c r="D138" i="16" s="1"/>
  <c r="D215" i="15"/>
  <c r="E215" i="15" s="1"/>
  <c r="D140" i="16" s="1"/>
  <c r="D218" i="15"/>
  <c r="E218" i="15" s="1"/>
  <c r="D139" i="16" s="1"/>
  <c r="D225" i="15"/>
  <c r="D206" i="15"/>
  <c r="A321" i="15"/>
  <c r="C322" i="15"/>
  <c r="D322" i="15" s="1"/>
  <c r="A323" i="15"/>
  <c r="B323" i="15"/>
  <c r="C323" i="15"/>
  <c r="C324" i="15" s="1"/>
  <c r="D324" i="15" s="1"/>
  <c r="E269" i="15" s="1"/>
  <c r="A324" i="15"/>
  <c r="A326" i="15" s="1"/>
  <c r="A330" i="15" s="1"/>
  <c r="A325" i="15"/>
  <c r="C327" i="15"/>
  <c r="D327" i="15" s="1"/>
  <c r="E306" i="15" s="1"/>
  <c r="A328" i="15"/>
  <c r="E130" i="15"/>
  <c r="D200" i="15"/>
  <c r="D84" i="15"/>
  <c r="A85" i="15"/>
  <c r="A86" i="15"/>
  <c r="A89" i="15" s="1"/>
  <c r="A93" i="15" s="1"/>
  <c r="A95" i="15" s="1"/>
  <c r="A101" i="15" s="1"/>
  <c r="A103" i="15" s="1"/>
  <c r="D87" i="15"/>
  <c r="D91" i="15"/>
  <c r="A92" i="15"/>
  <c r="B92" i="15"/>
  <c r="D93" i="15"/>
  <c r="D99" i="15"/>
  <c r="B100" i="15"/>
  <c r="D101" i="15"/>
  <c r="D108" i="15"/>
  <c r="D110" i="15"/>
  <c r="A111" i="15"/>
  <c r="D112" i="15"/>
  <c r="A113" i="15"/>
  <c r="B113" i="15"/>
  <c r="D114" i="15"/>
  <c r="A115" i="15"/>
  <c r="D116" i="15"/>
  <c r="E74" i="15" s="1"/>
  <c r="D90" i="16" s="1"/>
  <c r="D77" i="15"/>
  <c r="E63" i="15"/>
  <c r="E56" i="15"/>
  <c r="E44" i="15"/>
  <c r="D35" i="15"/>
  <c r="E35" i="15" s="1"/>
  <c r="D80" i="16" s="1"/>
  <c r="D31" i="15"/>
  <c r="D32" i="15" s="1"/>
  <c r="E13" i="15"/>
  <c r="D73" i="16" s="1"/>
  <c r="E185" i="16"/>
  <c r="E189" i="16" s="1"/>
  <c r="E150" i="16"/>
  <c r="E144" i="16"/>
  <c r="E253" i="16" s="1"/>
  <c r="D141" i="16"/>
  <c r="G20" i="17"/>
  <c r="E20" i="17"/>
  <c r="D20" i="17"/>
  <c r="C20" i="17"/>
  <c r="H20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4" i="17"/>
  <c r="K41" i="13"/>
  <c r="K42" i="13"/>
  <c r="K43" i="13"/>
  <c r="K44" i="13"/>
  <c r="B45" i="13"/>
  <c r="C45" i="13"/>
  <c r="D45" i="13"/>
  <c r="E45" i="13"/>
  <c r="F45" i="13"/>
  <c r="G45" i="13"/>
  <c r="H45" i="13"/>
  <c r="I45" i="13"/>
  <c r="J45" i="13"/>
  <c r="K49" i="13"/>
  <c r="K50" i="13"/>
  <c r="K51" i="13"/>
  <c r="B52" i="13"/>
  <c r="C52" i="13"/>
  <c r="D52" i="13"/>
  <c r="E52" i="13"/>
  <c r="F52" i="13"/>
  <c r="G52" i="13"/>
  <c r="H52" i="13"/>
  <c r="I52" i="13"/>
  <c r="J52" i="13"/>
  <c r="B56" i="13"/>
  <c r="C56" i="13"/>
  <c r="D56" i="13"/>
  <c r="E56" i="13"/>
  <c r="F56" i="13"/>
  <c r="G56" i="13"/>
  <c r="H56" i="13"/>
  <c r="I56" i="13"/>
  <c r="J56" i="13"/>
  <c r="K56" i="13"/>
  <c r="E24" i="15" l="1"/>
  <c r="E77" i="15"/>
  <c r="D78" i="15"/>
  <c r="E23" i="15"/>
  <c r="J215" i="16"/>
  <c r="J17" i="22" s="1"/>
  <c r="F215" i="16"/>
  <c r="F17" i="22" s="1"/>
  <c r="H215" i="16"/>
  <c r="H17" i="22" s="1"/>
  <c r="K217" i="16"/>
  <c r="K15" i="22"/>
  <c r="J217" i="16"/>
  <c r="J223" i="16" s="1"/>
  <c r="I215" i="16"/>
  <c r="I17" i="22" s="1"/>
  <c r="F223" i="16"/>
  <c r="F19" i="22"/>
  <c r="I217" i="16"/>
  <c r="I19" i="22" s="1"/>
  <c r="H217" i="16"/>
  <c r="H19" i="22" s="1"/>
  <c r="E409" i="15"/>
  <c r="D184" i="16" s="1"/>
  <c r="D36" i="12" s="1"/>
  <c r="E55" i="15"/>
  <c r="E62" i="15"/>
  <c r="E43" i="15"/>
  <c r="D84" i="16" s="1"/>
  <c r="D103" i="16"/>
  <c r="E270" i="15"/>
  <c r="E305" i="15"/>
  <c r="D115" i="16" s="1"/>
  <c r="D116" i="16"/>
  <c r="E206" i="15"/>
  <c r="D131" i="16" s="1"/>
  <c r="D130" i="16" s="1"/>
  <c r="D226" i="15"/>
  <c r="E200" i="15"/>
  <c r="D34" i="12"/>
  <c r="D414" i="15"/>
  <c r="C336" i="15"/>
  <c r="D336" i="15" s="1"/>
  <c r="D117" i="15"/>
  <c r="A112" i="15"/>
  <c r="D150" i="16"/>
  <c r="D23" i="12" s="1"/>
  <c r="D37" i="12"/>
  <c r="G55" i="13"/>
  <c r="J55" i="13"/>
  <c r="C55" i="13"/>
  <c r="B55" i="13"/>
  <c r="I55" i="13"/>
  <c r="K45" i="13"/>
  <c r="D55" i="13"/>
  <c r="F55" i="13"/>
  <c r="E55" i="13"/>
  <c r="K52" i="13"/>
  <c r="H55" i="13"/>
  <c r="J19" i="22" l="1"/>
  <c r="H223" i="16"/>
  <c r="K19" i="22"/>
  <c r="K223" i="16"/>
  <c r="J226" i="16"/>
  <c r="J28" i="22" s="1"/>
  <c r="J25" i="22"/>
  <c r="I223" i="16"/>
  <c r="F25" i="22"/>
  <c r="E318" i="15"/>
  <c r="E54" i="15"/>
  <c r="D85" i="16" s="1"/>
  <c r="D86" i="16"/>
  <c r="E61" i="15"/>
  <c r="D87" i="16" s="1"/>
  <c r="D88" i="16"/>
  <c r="E42" i="15"/>
  <c r="D83" i="16" s="1"/>
  <c r="D77" i="16"/>
  <c r="D229" i="15"/>
  <c r="D228" i="15" s="1"/>
  <c r="E228" i="15" s="1"/>
  <c r="D132" i="16" s="1"/>
  <c r="D119" i="16"/>
  <c r="D24" i="12" s="1"/>
  <c r="E226" i="15"/>
  <c r="A114" i="15"/>
  <c r="A116" i="15" s="1"/>
  <c r="A110" i="15"/>
  <c r="D35" i="12"/>
  <c r="K55" i="13"/>
  <c r="E134" i="16"/>
  <c r="E126" i="16"/>
  <c r="D126" i="16"/>
  <c r="D93" i="16"/>
  <c r="D91" i="16"/>
  <c r="D92" i="16"/>
  <c r="D14" i="12"/>
  <c r="E94" i="16"/>
  <c r="E78" i="16"/>
  <c r="K30" i="13"/>
  <c r="J30" i="13"/>
  <c r="I30" i="13"/>
  <c r="H30" i="13"/>
  <c r="G30" i="13"/>
  <c r="F30" i="13"/>
  <c r="E30" i="13"/>
  <c r="D30" i="13"/>
  <c r="C30" i="13"/>
  <c r="B30" i="13"/>
  <c r="A30" i="13"/>
  <c r="K28" i="13"/>
  <c r="J28" i="13"/>
  <c r="I28" i="13"/>
  <c r="H28" i="13"/>
  <c r="G28" i="13"/>
  <c r="F28" i="13"/>
  <c r="E28" i="13"/>
  <c r="D28" i="13"/>
  <c r="C28" i="13"/>
  <c r="B28" i="13"/>
  <c r="A28" i="13"/>
  <c r="K26" i="13"/>
  <c r="J26" i="13"/>
  <c r="I26" i="13"/>
  <c r="H26" i="13"/>
  <c r="G26" i="13"/>
  <c r="F26" i="13"/>
  <c r="E26" i="13"/>
  <c r="D26" i="13"/>
  <c r="C26" i="13"/>
  <c r="B26" i="13"/>
  <c r="J22" i="13"/>
  <c r="I22" i="13"/>
  <c r="H22" i="13"/>
  <c r="G22" i="13"/>
  <c r="F22" i="13"/>
  <c r="E22" i="13"/>
  <c r="D22" i="13"/>
  <c r="C22" i="13"/>
  <c r="B22" i="13"/>
  <c r="K21" i="13"/>
  <c r="K20" i="13"/>
  <c r="K19" i="13"/>
  <c r="K18" i="13"/>
  <c r="J14" i="13"/>
  <c r="I14" i="13"/>
  <c r="H14" i="13"/>
  <c r="G14" i="13"/>
  <c r="F14" i="13"/>
  <c r="E14" i="13"/>
  <c r="D14" i="13"/>
  <c r="C14" i="13"/>
  <c r="B14" i="13"/>
  <c r="K13" i="13"/>
  <c r="K12" i="13"/>
  <c r="K11" i="13"/>
  <c r="K10" i="13"/>
  <c r="K9" i="13"/>
  <c r="F38" i="12"/>
  <c r="F32" i="12"/>
  <c r="D32" i="12"/>
  <c r="F22" i="12"/>
  <c r="F21" i="12"/>
  <c r="F20" i="12"/>
  <c r="D20" i="12"/>
  <c r="F16" i="12"/>
  <c r="F11" i="12"/>
  <c r="E214" i="16" l="1"/>
  <c r="E16" i="22" s="1"/>
  <c r="E252" i="16"/>
  <c r="E254" i="16" s="1"/>
  <c r="H25" i="22"/>
  <c r="K25" i="22"/>
  <c r="K226" i="16"/>
  <c r="K28" i="22" s="1"/>
  <c r="I25" i="22"/>
  <c r="F26" i="12"/>
  <c r="D76" i="16"/>
  <c r="D78" i="16" s="1"/>
  <c r="D13" i="12" s="1"/>
  <c r="E31" i="15"/>
  <c r="E229" i="15"/>
  <c r="D144" i="16"/>
  <c r="D185" i="16"/>
  <c r="D189" i="16" s="1"/>
  <c r="D174" i="16" s="1"/>
  <c r="D175" i="16" s="1"/>
  <c r="D134" i="16"/>
  <c r="D252" i="16" s="1"/>
  <c r="E96" i="16"/>
  <c r="H25" i="13"/>
  <c r="H29" i="13" s="1"/>
  <c r="D25" i="13"/>
  <c r="D29" i="13" s="1"/>
  <c r="J25" i="13"/>
  <c r="J29" i="13" s="1"/>
  <c r="B25" i="13"/>
  <c r="B29" i="13" s="1"/>
  <c r="C25" i="13"/>
  <c r="G31" i="13"/>
  <c r="I31" i="13"/>
  <c r="E25" i="13"/>
  <c r="E29" i="13" s="1"/>
  <c r="B31" i="13"/>
  <c r="J31" i="13"/>
  <c r="I25" i="13"/>
  <c r="I29" i="13" s="1"/>
  <c r="F25" i="13"/>
  <c r="F29" i="13" s="1"/>
  <c r="H31" i="13"/>
  <c r="K22" i="13"/>
  <c r="C29" i="13"/>
  <c r="C31" i="13"/>
  <c r="K31" i="13"/>
  <c r="K14" i="13"/>
  <c r="D31" i="13"/>
  <c r="E31" i="13"/>
  <c r="G25" i="13"/>
  <c r="G29" i="13" s="1"/>
  <c r="F31" i="13"/>
  <c r="F40" i="12"/>
  <c r="D38" i="12"/>
  <c r="F41" i="12"/>
  <c r="D11" i="12"/>
  <c r="D22" i="12" l="1"/>
  <c r="D253" i="16"/>
  <c r="D254" i="16" s="1"/>
  <c r="E213" i="16"/>
  <c r="E15" i="22" s="1"/>
  <c r="D209" i="16"/>
  <c r="D11" i="22" s="1"/>
  <c r="D21" i="12"/>
  <c r="D214" i="16"/>
  <c r="D16" i="22" s="1"/>
  <c r="D40" i="12"/>
  <c r="C14" i="21"/>
  <c r="D12" i="12"/>
  <c r="C13" i="21"/>
  <c r="D94" i="16"/>
  <c r="K25" i="13"/>
  <c r="F42" i="12"/>
  <c r="F44" i="12" s="1"/>
  <c r="F45" i="12" s="1"/>
  <c r="F47" i="12" s="1"/>
  <c r="D211" i="16" l="1"/>
  <c r="D13" i="22" s="1"/>
  <c r="E215" i="16"/>
  <c r="E17" i="22" s="1"/>
  <c r="C21" i="21"/>
  <c r="E21" i="21" s="1"/>
  <c r="C20" i="21"/>
  <c r="E20" i="21" s="1"/>
  <c r="E217" i="16"/>
  <c r="D96" i="16"/>
  <c r="D15" i="12"/>
  <c r="D16" i="12" s="1"/>
  <c r="K29" i="13"/>
  <c r="D213" i="16" l="1"/>
  <c r="E223" i="16"/>
  <c r="E19" i="22"/>
  <c r="D26" i="12"/>
  <c r="D16" i="1"/>
  <c r="K32" i="13" s="1"/>
  <c r="D15" i="22" l="1"/>
  <c r="D217" i="16"/>
  <c r="D223" i="16" s="1"/>
  <c r="D215" i="16"/>
  <c r="D17" i="22" s="1"/>
  <c r="E25" i="22"/>
  <c r="D41" i="12"/>
  <c r="D42" i="12" s="1"/>
  <c r="D44" i="12" s="1"/>
  <c r="D45" i="12" s="1"/>
  <c r="D47" i="12" s="1"/>
  <c r="C15" i="21"/>
  <c r="C19" i="21" s="1"/>
  <c r="E19" i="21" s="1"/>
  <c r="F55" i="2"/>
  <c r="F54" i="2"/>
  <c r="F53" i="2"/>
  <c r="F56" i="2"/>
  <c r="F57" i="2"/>
  <c r="F58" i="2"/>
  <c r="F59" i="2"/>
  <c r="F60" i="2"/>
  <c r="F52" i="2"/>
  <c r="F48" i="2"/>
  <c r="B63" i="2"/>
  <c r="F63" i="2" s="1"/>
  <c r="D61" i="2"/>
  <c r="B61" i="2"/>
  <c r="B50" i="2"/>
  <c r="F49" i="2"/>
  <c r="F47" i="2"/>
  <c r="F45" i="2"/>
  <c r="D43" i="2"/>
  <c r="B43" i="2"/>
  <c r="F42" i="2"/>
  <c r="F41" i="2"/>
  <c r="F40" i="2"/>
  <c r="F39" i="2"/>
  <c r="F35" i="2"/>
  <c r="F32" i="2"/>
  <c r="B31" i="2"/>
  <c r="F30" i="2"/>
  <c r="F31" i="2" s="1"/>
  <c r="B29" i="2"/>
  <c r="F28" i="2"/>
  <c r="F27" i="2"/>
  <c r="F26" i="2"/>
  <c r="F25" i="2"/>
  <c r="F24" i="2"/>
  <c r="F23" i="2"/>
  <c r="B20" i="2"/>
  <c r="F19" i="2"/>
  <c r="F20" i="2" s="1"/>
  <c r="B18" i="2"/>
  <c r="F17" i="2"/>
  <c r="F16" i="2"/>
  <c r="F15" i="2"/>
  <c r="B14" i="2"/>
  <c r="F13" i="2"/>
  <c r="F12" i="2"/>
  <c r="F11" i="2"/>
  <c r="F10" i="2"/>
  <c r="F9" i="2"/>
  <c r="F8" i="2"/>
  <c r="F7" i="2"/>
  <c r="D6" i="2"/>
  <c r="F6" i="2" s="1"/>
  <c r="F69" i="1"/>
  <c r="D67" i="1"/>
  <c r="D66" i="1"/>
  <c r="D63" i="1"/>
  <c r="D61" i="1"/>
  <c r="D58" i="1"/>
  <c r="F56" i="1"/>
  <c r="D55" i="1"/>
  <c r="D56" i="1" s="1"/>
  <c r="D49" i="1"/>
  <c r="D47" i="1"/>
  <c r="F45" i="1"/>
  <c r="F47" i="1" s="1"/>
  <c r="D36" i="1"/>
  <c r="F35" i="1"/>
  <c r="D35" i="1"/>
  <c r="F34" i="1"/>
  <c r="D33" i="1"/>
  <c r="D34" i="1" s="1"/>
  <c r="F32" i="1"/>
  <c r="D31" i="1"/>
  <c r="D30" i="1"/>
  <c r="D28" i="1"/>
  <c r="D27" i="1"/>
  <c r="D23" i="1"/>
  <c r="F22" i="1"/>
  <c r="D22" i="1"/>
  <c r="F20" i="1"/>
  <c r="D20" i="1"/>
  <c r="F16" i="1"/>
  <c r="D19" i="22" l="1"/>
  <c r="D202" i="16"/>
  <c r="D6" i="22"/>
  <c r="D25" i="22"/>
  <c r="C16" i="21"/>
  <c r="B21" i="2"/>
  <c r="F61" i="2"/>
  <c r="D65" i="2"/>
  <c r="F43" i="2"/>
  <c r="B65" i="2"/>
  <c r="F14" i="2"/>
  <c r="F18" i="2"/>
  <c r="F29" i="2"/>
  <c r="F33" i="2" s="1"/>
  <c r="D14" i="2"/>
  <c r="F50" i="2"/>
  <c r="B33" i="2"/>
  <c r="B37" i="2" s="1"/>
  <c r="D24" i="1"/>
  <c r="D32" i="1"/>
  <c r="D37" i="1" s="1"/>
  <c r="D69" i="1"/>
  <c r="D71" i="1" s="1"/>
  <c r="F71" i="1"/>
  <c r="F24" i="1"/>
  <c r="F37" i="1"/>
  <c r="F7" i="22" l="1"/>
  <c r="E6" i="22"/>
  <c r="G7" i="22"/>
  <c r="H7" i="22"/>
  <c r="I7" i="22"/>
  <c r="G204" i="16"/>
  <c r="G225" i="16" s="1"/>
  <c r="D225" i="16"/>
  <c r="F225" i="16"/>
  <c r="I204" i="16"/>
  <c r="I225" i="16" s="1"/>
  <c r="E225" i="16"/>
  <c r="H204" i="16"/>
  <c r="H225" i="16" s="1"/>
  <c r="D21" i="2"/>
  <c r="D37" i="2" s="1"/>
  <c r="D67" i="2" s="1"/>
  <c r="K57" i="13"/>
  <c r="F21" i="2"/>
  <c r="F37" i="2" s="1"/>
  <c r="B67" i="2"/>
  <c r="F65" i="2"/>
  <c r="D39" i="1"/>
  <c r="D73" i="1" s="1"/>
  <c r="F39" i="1"/>
  <c r="F73" i="1" s="1"/>
  <c r="F27" i="22" l="1"/>
  <c r="F226" i="16"/>
  <c r="F28" i="22" s="1"/>
  <c r="D27" i="22"/>
  <c r="D226" i="16"/>
  <c r="D28" i="22" s="1"/>
  <c r="E27" i="22"/>
  <c r="E226" i="16"/>
  <c r="E28" i="22" s="1"/>
  <c r="G27" i="22"/>
  <c r="G226" i="16"/>
  <c r="G28" i="22" s="1"/>
  <c r="H27" i="22"/>
  <c r="H226" i="16"/>
  <c r="H28" i="22" s="1"/>
  <c r="I27" i="22"/>
  <c r="I226" i="16"/>
  <c r="I28" i="22" s="1"/>
  <c r="F67" i="2"/>
  <c r="H19" i="17" l="1"/>
  <c r="K19" i="17" s="1"/>
  <c r="K20" i="17" s="1"/>
  <c r="E78" i="15"/>
</calcChain>
</file>

<file path=xl/sharedStrings.xml><?xml version="1.0" encoding="utf-8"?>
<sst xmlns="http://schemas.openxmlformats.org/spreadsheetml/2006/main" count="1771" uniqueCount="1003">
  <si>
    <t>AKTIVA</t>
  </si>
  <si>
    <t>Nematerijalna imovina</t>
  </si>
  <si>
    <t>Zemljište</t>
  </si>
  <si>
    <t>Građevinski objekti</t>
  </si>
  <si>
    <t>Postrojenja i oprema</t>
  </si>
  <si>
    <t xml:space="preserve">Imovina s pravom korištenja </t>
  </si>
  <si>
    <t>Alati, pogonski inventar i transportna imovina</t>
  </si>
  <si>
    <t>Predujmovi za nekretnine, postrojenja i opremu</t>
  </si>
  <si>
    <t>Nekretnine, postrojenja i oprema u pripremi</t>
  </si>
  <si>
    <t>Ostala materijalna imovina</t>
  </si>
  <si>
    <t>Materijalna imovina</t>
  </si>
  <si>
    <t>Ulaganja u udjele  poduzetnika unutar grupe</t>
  </si>
  <si>
    <t>Ulaganja u vrijednosne papire</t>
  </si>
  <si>
    <t>Ostala dugotrajna financijska imovina</t>
  </si>
  <si>
    <t>Financijska imovina</t>
  </si>
  <si>
    <t>Ostala potraživanja</t>
  </si>
  <si>
    <t>Potraživanja</t>
  </si>
  <si>
    <t>Plaćeni troškovi budućeg razdoblja i obračunati prihodi</t>
  </si>
  <si>
    <t>DUGOTRAJNA IMOVINA</t>
  </si>
  <si>
    <t>Zalihe</t>
  </si>
  <si>
    <t>Potraživanja od poduzetnika unutar grupe</t>
  </si>
  <si>
    <t>Potraživanja od kupaca</t>
  </si>
  <si>
    <t>Potraživanja od zaposlenika i članova poduzetnika</t>
  </si>
  <si>
    <t>Potraživanja od države i drugih institucija</t>
  </si>
  <si>
    <t>Dani zajmovi, depoziti i sl.</t>
  </si>
  <si>
    <t>Novac u banci i blagajni</t>
  </si>
  <si>
    <t>KRATKOTRAJNA IMOVINA</t>
  </si>
  <si>
    <t>UKUPNO AKTIVA</t>
  </si>
  <si>
    <t>PASIVA</t>
  </si>
  <si>
    <t>Temeljni (upisani) kapital</t>
  </si>
  <si>
    <t>Kapitalne rezerve</t>
  </si>
  <si>
    <t>Preneseni gubitak/Zadržana dobit</t>
  </si>
  <si>
    <t>Gubitak/Dobit poslovne godine</t>
  </si>
  <si>
    <t>KAPITAL I REZERVE</t>
  </si>
  <si>
    <t>Obveze za zajmove, depozite i slično</t>
  </si>
  <si>
    <t>Ostale dugoročne obveze</t>
  </si>
  <si>
    <t>Odgođeno plaćanje troškova i prihod budućeg razdoblja</t>
  </si>
  <si>
    <t>Obveze za predujmove</t>
  </si>
  <si>
    <t>Obveze prema dobavljačima</t>
  </si>
  <si>
    <t>Obveze prema zaposlenicima</t>
  </si>
  <si>
    <t>Ostale obveze</t>
  </si>
  <si>
    <t>Obveze prema Ministarstvu financija</t>
  </si>
  <si>
    <t>UKUPNO PASIVA</t>
  </si>
  <si>
    <t>Obveze prema bankama i drugim financijskim institucijama</t>
  </si>
  <si>
    <t>Obveze prema poduzetnicima unutar grupe</t>
  </si>
  <si>
    <t>Obveze za zajmove, depozite i slično poduzetnika unutar grupe</t>
  </si>
  <si>
    <t>Obveze za poreze, doprinose i slična davanja</t>
  </si>
  <si>
    <t>REZERVIRANJA</t>
  </si>
  <si>
    <t>DUGOROČNE OBVEZE</t>
  </si>
  <si>
    <t>KRATKOROČNE OBVEZE</t>
  </si>
  <si>
    <t>31. prosinac 2021.</t>
  </si>
  <si>
    <t>Društvo</t>
  </si>
  <si>
    <t>Javno dobro</t>
  </si>
  <si>
    <t>Ukupno</t>
  </si>
  <si>
    <t>HRKˊ000</t>
  </si>
  <si>
    <t>-</t>
  </si>
  <si>
    <t>Ulaganja u udjele poduzetnika unutar grupe</t>
  </si>
  <si>
    <t>strateški cilj</t>
  </si>
  <si>
    <t>posebni cilj</t>
  </si>
  <si>
    <t>pokazatelj ishoda</t>
  </si>
  <si>
    <t>početna vrijednost</t>
  </si>
  <si>
    <t>(2021.)</t>
  </si>
  <si>
    <t>ciljna vrijednost (2030.)</t>
  </si>
  <si>
    <t>izvor podataka</t>
  </si>
  <si>
    <t>1. ODRŽIV I KONKURENTAN ŽELJEZNIČKI SUSTAV</t>
  </si>
  <si>
    <t>1. Poboljšanje ekonomske i financijske održivosti javne željezničke infrastrukture</t>
  </si>
  <si>
    <t xml:space="preserve">Naturalna produktivnost (vlak-km po zaposlenome) </t>
  </si>
  <si>
    <t>HŽI</t>
  </si>
  <si>
    <t>HŽPP</t>
  </si>
  <si>
    <t>2. Obnova i modernizacija željezničke infrastrukture</t>
  </si>
  <si>
    <t>Ulaganje u održavanje infrastrukture po km kolosijeka otvorene pruge (EUR)</t>
  </si>
  <si>
    <t>Duljina moderniziranih kolosijeka[1] otvorene željezničke pruge (u ukupnoj mreži) (km)</t>
  </si>
  <si>
    <t>Duljina obnovljenih kolosijeka[2] otvorene željezničke pruge (u ukupnoj mreži) (km)</t>
  </si>
  <si>
    <t>3. Smanjenje negativnog utjecaja željezničkog sustava (prometa) na okoliš</t>
  </si>
  <si>
    <t>0,8 (2019)</t>
  </si>
  <si>
    <t>Izvješće o inventaru stakleničkih plinova na području Republike Hrvatske</t>
  </si>
  <si>
    <t>2. INTEGRIRAN I INTERMODALAN ŽELJEZNIČKI SUSTAV</t>
  </si>
  <si>
    <t>4. Poboljšanje uvjeta za intermodalni teretni i integrirani urbani prijevoz</t>
  </si>
  <si>
    <t>Udio pokrivenosti urbanih regija intermodalnim terminalima (%)[3]</t>
  </si>
  <si>
    <t>MMPI</t>
  </si>
  <si>
    <t>Udio pokrivenosti urbanih regija terminalima integriranog prijevoza (%)[4]</t>
  </si>
  <si>
    <t>3. SIGURAN I DOSTUPAN ŽELJEZNIČKI SUSTAV</t>
  </si>
  <si>
    <t xml:space="preserve">5. Poboljšanje sigurnosti i pouzdanosti željezničke infrastrukture </t>
  </si>
  <si>
    <t xml:space="preserve">OI.02.11.26 Željezničke nesreće prema vrsti nesreće </t>
  </si>
  <si>
    <t>30[5]</t>
  </si>
  <si>
    <t>ASŽ</t>
  </si>
  <si>
    <t>Broj poginulih u izvanrednim događajima u željezničkom prometu</t>
  </si>
  <si>
    <t>10[6]</t>
  </si>
  <si>
    <t>Broj teško ozlijeđenih u izvanrednim događajima u željezničkom prometu</t>
  </si>
  <si>
    <t>Udio pokrivenosti željezničkih pruga osnovne mreže EU mjernim stanicama (%)</t>
  </si>
  <si>
    <t xml:space="preserve">Udio križanja željezničke pruge s drugim prometnicama osiguranih uređajima[7] u ukupnom broju križanja (%) </t>
  </si>
  <si>
    <t>[1] Podrazumijevaju se radovi na svim infrastrukturnim podsustavima.</t>
  </si>
  <si>
    <t>[2] Podrazumijevaju se radovi na svim infrastrukturnim podsustavima.</t>
  </si>
  <si>
    <t>[3] Odnosi se na izgrađene intermodalne terminale na području urbane regije u odnosu na Republiku Hrvatsku.</t>
  </si>
  <si>
    <t>[4] Odnosi se na glavna službena mjesta na području urbane regije u odnosu na Republiku Hrvatsku.</t>
  </si>
  <si>
    <t>[5] Odnosi se na broj ozbiljnih nesreća i nesreća na ŽCP-ima i PP-ima.</t>
  </si>
  <si>
    <t>[6] Broj se odnosi na smrtno stradale bez samoubojstava.</t>
  </si>
  <si>
    <t>[7] Odnosi se i na ŽCP-e i PP-e koji se moderniziraju u sklopu velikih infrastrukturnih projekata ne samo na pojedinačne modernizacije.</t>
  </si>
  <si>
    <t>Pokrivenost operativnih troškova javnog željezničkog prijevoza prihodima od prodaje (bez potpora)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</si>
  <si>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</si>
  <si>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</si>
  <si>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</si>
  <si>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</si>
  <si>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</si>
  <si>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</si>
  <si>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</si>
  <si>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</si>
  <si>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</si>
  <si>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naturalna produktivnost (vlak-km po zaposlenome)</t>
  </si>
  <si>
    <t>ulaganje u održavanje infrastrukture po km kolosijeka otvorene pruge (EUR)</t>
  </si>
  <si>
    <t>Duljina moderniziranih kolosijeka otvorene željezničke pruge (u ukupnoj mreži) (km)[1]</t>
  </si>
  <si>
    <t>Duljina obnovljenih kolosijeka otvorene željezničke pruge (u ukupnoj mreži) (km)[2]</t>
  </si>
  <si>
    <t>udio emisija CO2 u željezničkom prometu u ukupnim emisijama (sektora prometa)</t>
  </si>
  <si>
    <t>pokrivenost urbanih regija intermodalnim terminalima (%)</t>
  </si>
  <si>
    <t>pokrivenost urbanih regija terminalima integriranog prijevoza (%)</t>
  </si>
  <si>
    <t>željezničke nesreće prema vrsti nesreće</t>
  </si>
  <si>
    <t>30[3]</t>
  </si>
  <si>
    <t>broj poginulih u izvanrednim događajima u željezničkom prometu</t>
  </si>
  <si>
    <t>10[4]</t>
  </si>
  <si>
    <t>broj teško ozlijeđenih u izvanrednim događajima u željezničkom prometu</t>
  </si>
  <si>
    <t>udio pokrivenosti željezničkih pruga osnovne mreže EU mjernim stanicama (%)</t>
  </si>
  <si>
    <t>udio križanja željezničke pruge s drugim prometnicama osiguranih uređajima[5] u ukupnom broju križanja (%)</t>
  </si>
  <si>
    <t>[1] U promatranom periodu (zbroj po godinama)</t>
  </si>
  <si>
    <t>[2] U promatranom periodu (zbroj po godinama)</t>
  </si>
  <si>
    <t>[3] Odnosi se na broj ozbiljnih nesreća i nesreća na ŽCP-ima i PP-ima</t>
  </si>
  <si>
    <t>[4] Broj se odnosi na smrtno stradale bez samoubojstava.</t>
  </si>
  <si>
    <t>[5] Odnosi se i na ŽCP-e i PP-e koji se moderniziraju u sklopu velikih infrastrukturnih projekata, a ne samo na pojedinačne modernizacije.</t>
  </si>
  <si>
    <t>naziv projekta</t>
  </si>
  <si>
    <t xml:space="preserve">doprinos posebnom cilju nacionalnog plana </t>
  </si>
  <si>
    <t xml:space="preserve">nositelj provedbe projekta </t>
  </si>
  <si>
    <t xml:space="preserve">ključne točke ostvarenja  </t>
  </si>
  <si>
    <t xml:space="preserve">planirano razdoblje provedbe projekta </t>
  </si>
  <si>
    <t xml:space="preserve">rok postignuća ključnih točaka ostvarenja </t>
  </si>
  <si>
    <t xml:space="preserve">ukupna procijenjena vrijednost projekta </t>
  </si>
  <si>
    <t xml:space="preserve">izvor financiranja </t>
  </si>
  <si>
    <t>Rekonstrukcija postojećeg i izgradnja drugog kolosijeka željezničke pruge na dionici Križevci – Koprivnica – državna granica</t>
  </si>
  <si>
    <t>Posebni cilj 2.</t>
  </si>
  <si>
    <t xml:space="preserve">1. Modernizirano 42 km željezničke pruge </t>
  </si>
  <si>
    <t xml:space="preserve">2. Ishođene uporabne dozvole </t>
  </si>
  <si>
    <t xml:space="preserve">3. Ishođeno Rješenje Agencije za sigurnost željezničkog prometa </t>
  </si>
  <si>
    <t xml:space="preserve">2022. – 2024. </t>
  </si>
  <si>
    <t xml:space="preserve">1. 3K/2024. </t>
  </si>
  <si>
    <t xml:space="preserve">2. 3K/2024. </t>
  </si>
  <si>
    <t>3. 3K/2024.</t>
  </si>
  <si>
    <t>T754048 potpora u provedbi CEF projekata željezničkog sektora</t>
  </si>
  <si>
    <t>Unaprjeđenje, obnova, izgradnja drugog kolosijeka te izgradnja nove dvokolosiječne pruge na dionicama željezničke pruge na dionici Dugo Selo – Novska</t>
  </si>
  <si>
    <t xml:space="preserve">1. Ishođenje građevinske dozvole </t>
  </si>
  <si>
    <t xml:space="preserve">2. Započeo postupak javne nabave za radove i nadzor </t>
  </si>
  <si>
    <t xml:space="preserve">3. Sklopljen ugovor za radove </t>
  </si>
  <si>
    <t xml:space="preserve">4. Modernizirano 83 km željezničke pruge </t>
  </si>
  <si>
    <t xml:space="preserve">5. Ishođene uporabne dozvole </t>
  </si>
  <si>
    <t>6. Ishođeno Rješenje Agencije za sigurnost željezničkog prometa</t>
  </si>
  <si>
    <t xml:space="preserve">2023. – 2028. </t>
  </si>
  <si>
    <t xml:space="preserve">1. 2K/2023. </t>
  </si>
  <si>
    <t xml:space="preserve">2. 2K/2023. </t>
  </si>
  <si>
    <t>3. 2K/2024.</t>
  </si>
  <si>
    <t>4. 4K/2028.</t>
  </si>
  <si>
    <t>5. 4K/2028.</t>
  </si>
  <si>
    <t>6. 4K/2028.</t>
  </si>
  <si>
    <t>T754034 potpora trgovačkim društvima u javnom sektoru u pripremi i provedbi projekata planiranih za sufinanciranje iz EU fondova</t>
  </si>
  <si>
    <t>Projekt izgradnje drugog kolosijeka, modernizacije i obnove na pružnoj dionici Škrljevo (uključivo) – Rijeka – Jurdani (uključivo) željezničke pruge M203 Rijeka – Šapjane – DG, te rekonstrukcija kolodvora Šapjane i stajališta Permani i rekonstrukcija SS uređaja na dionici Jurdani – Šapjane</t>
  </si>
  <si>
    <t xml:space="preserve">4. Modernizirano 27 km željezničke pruge </t>
  </si>
  <si>
    <t xml:space="preserve">2016. – 2028. </t>
  </si>
  <si>
    <t xml:space="preserve">1. 3K/2023. </t>
  </si>
  <si>
    <t xml:space="preserve">4. 4K/2028. </t>
  </si>
  <si>
    <t xml:space="preserve">5. 4K/2028. </t>
  </si>
  <si>
    <t>T754048 Potpora u provedbi CEF projekata željezničkog sektora</t>
  </si>
  <si>
    <t>Rekonstrukcija i elektrifikacija željezničke pruge na dionici Zaprešić – Zabok</t>
  </si>
  <si>
    <t xml:space="preserve">1. Ishođene uporabne dozvole </t>
  </si>
  <si>
    <t>2. Ishođeno Rješenje Agencije za sigurnost željezničkog prometa</t>
  </si>
  <si>
    <t>2018. – 2022.</t>
  </si>
  <si>
    <t>1.3K/2022.</t>
  </si>
  <si>
    <t>2. 4K/2022.</t>
  </si>
  <si>
    <t>Nadogradnja i elektrifikacija željezničke pruge Vinkovci – Vukovar</t>
  </si>
  <si>
    <t xml:space="preserve">1. Modernizirano 18 km željezničke pruge </t>
  </si>
  <si>
    <t xml:space="preserve">2. Elektrificirano 18 km željezničke pruge </t>
  </si>
  <si>
    <t xml:space="preserve">3. Ishođene uporabne dozvole </t>
  </si>
  <si>
    <t>4. Ishođeno Rješenje Agencije za sigurnost željezničkog prometa</t>
  </si>
  <si>
    <t xml:space="preserve">1. 4K/2022. </t>
  </si>
  <si>
    <t xml:space="preserve">2. 4K/2022. </t>
  </si>
  <si>
    <t xml:space="preserve">3. 2K/2023. </t>
  </si>
  <si>
    <t xml:space="preserve">4. 2K/2023. </t>
  </si>
  <si>
    <t>Rekonstrukcija i izgradnja 2. kolosijeka dionice Hrvatski Leskovac – Karlovac</t>
  </si>
  <si>
    <t xml:space="preserve">1. Modernizirano 44 km željezničke pruge </t>
  </si>
  <si>
    <t>3. Ishođeno Rješenje Agencije za sigurnost željezničkog prometa</t>
  </si>
  <si>
    <t xml:space="preserve">2022. – 2025. </t>
  </si>
  <si>
    <t xml:space="preserve">1. 2K/2025. </t>
  </si>
  <si>
    <t xml:space="preserve">2. 2K/2025. </t>
  </si>
  <si>
    <t>3. 2K/2025.</t>
  </si>
  <si>
    <t>Modernizacija željezničke pruge M202 Zagreb GK – Rijeka, na dionici Karlovac – Oštarije</t>
  </si>
  <si>
    <t xml:space="preserve">1. Započeo postupak javne nabave za izradu tehničke dokumentacije </t>
  </si>
  <si>
    <t>2. Ishođene građevinske dozvole</t>
  </si>
  <si>
    <t xml:space="preserve">3. Započeo postupak javne nabave za radove i nadzor </t>
  </si>
  <si>
    <t xml:space="preserve">4. Započeli radovi na modernizaciji željezničke pruge </t>
  </si>
  <si>
    <t xml:space="preserve">2021. – 2030. </t>
  </si>
  <si>
    <t xml:space="preserve">1. 1K/2023. </t>
  </si>
  <si>
    <t xml:space="preserve">2. 3K/2026. </t>
  </si>
  <si>
    <t>3. 3K/2026.</t>
  </si>
  <si>
    <t xml:space="preserve">4. 4K/2027. </t>
  </si>
  <si>
    <t xml:space="preserve">Modernizacija željezničke pruge M202 Zagreb GK –  Rijeka, na dionici Oštarije – Škrljevo </t>
  </si>
  <si>
    <t>2022. – 2030.</t>
  </si>
  <si>
    <t>2. 3K/2027.</t>
  </si>
  <si>
    <t xml:space="preserve">3. 2K/2027. </t>
  </si>
  <si>
    <t>4. 2K/2028.</t>
  </si>
  <si>
    <t>Modernizacija željezničke dionice Okučani – Vinkovci</t>
  </si>
  <si>
    <t>1. Ishođene građevinske dozvole</t>
  </si>
  <si>
    <t xml:space="preserve">3. Započeli radovi na modernizaciji 131 km željezničke pruge </t>
  </si>
  <si>
    <t xml:space="preserve">2022. – 2030. </t>
  </si>
  <si>
    <t>1. 3K/2024.</t>
  </si>
  <si>
    <t>2. 1K/2024.</t>
  </si>
  <si>
    <t>mjera</t>
  </si>
  <si>
    <t>rok provedbe mjere (godina)</t>
  </si>
  <si>
    <t>pokazatelj rezultata mjere</t>
  </si>
  <si>
    <t xml:space="preserve">ciljna vrijednost pokazatelja rezultata </t>
  </si>
  <si>
    <t>nositelj provedbe</t>
  </si>
  <si>
    <t xml:space="preserve">Ukupni procijenjeni trošak provedbe mjere /Procijenjeni trošak za vrijeme trajanja akcijsko plana (€)  </t>
  </si>
  <si>
    <t xml:space="preserve">Izvor financiranja </t>
  </si>
  <si>
    <t>M 1.1. (I) Unaprjeđenje sustava održavanja željezničke infrastrukture</t>
  </si>
  <si>
    <t>3K/2023</t>
  </si>
  <si>
    <t>Broj potpisanih višegodišnjih ugovora o upravljanju željezničkom infrastrukturom</t>
  </si>
  <si>
    <t>Sadržano u mjeri 2.2./  Sadržano u Mjeri 2.2.</t>
  </si>
  <si>
    <t>3114 – Izgradnja i održavanje željezničke infrastrukture, kredit, ostalo</t>
  </si>
  <si>
    <t>M 1.2. (I) Unaprjeđenje sustava održavanja željezničke infrastrukture</t>
  </si>
  <si>
    <t>4K/2030</t>
  </si>
  <si>
    <t>1. Duljina kolosijeka željezničke pruge na kojima su provedeni radovi održavanja (km)</t>
  </si>
  <si>
    <t xml:space="preserve">2. Broj komada modernizirane strateške mehanizacije </t>
  </si>
  <si>
    <t xml:space="preserve">3. Broj komada nove strateške mehanizacije </t>
  </si>
  <si>
    <t>4. Broj modernizirane sitne pružne mehanizacije</t>
  </si>
  <si>
    <t xml:space="preserve">5. Broj nabavljene nove sitne pružne mehanizacije </t>
  </si>
  <si>
    <t>6.Broj izgrađenih objekata za smještaj i održavanje vozila</t>
  </si>
  <si>
    <t>7. Prosječna komercijalna brzina putničkih vlakova</t>
  </si>
  <si>
    <t>8. Prosječna komercijalna brzina teretnih vlakova</t>
  </si>
  <si>
    <t>1. 300 km</t>
  </si>
  <si>
    <t xml:space="preserve">670.250.182,49/205.720.353,04. </t>
  </si>
  <si>
    <t>M 1.3. (R) Optimizacija (restrukturiranje) željezničke mreže u skladu s neophodnom razinom usluge</t>
  </si>
  <si>
    <t>4K/2023</t>
  </si>
  <si>
    <t>1. Broj kilometara revitaliziranih pruga na kojima je ponovno uspostavljen željeznički promet</t>
  </si>
  <si>
    <t>2. Broj JLP(R)S-a na području kojih je uspostavljen sustav prijevoza na poziv</t>
  </si>
  <si>
    <t>1. 165 km</t>
  </si>
  <si>
    <t>Sadržano u Mjeri 2.2.</t>
  </si>
  <si>
    <t>M 2.1. (R) Unaprjeđenje zakonodavnog i institucionalnog okvira za pripremu i provedbu željezničkih linijskih infrastrukturnih projekata</t>
  </si>
  <si>
    <t>4K/2026</t>
  </si>
  <si>
    <t>Broj izmijenjenih/dopunjenih propisa koji se odnose na provedbu željezničkih linijskih infrastrukturnih projekata</t>
  </si>
  <si>
    <t>n/p</t>
  </si>
  <si>
    <t>3114 – Izgradnja i održavanje željezničke infrastrukture</t>
  </si>
  <si>
    <t>M 2.2. (I) Priprema i provedba programa obnove i modernizacije željezničke infrastrukture</t>
  </si>
  <si>
    <t>1. Duljina obnovljenih željezničkih pruga</t>
  </si>
  <si>
    <t xml:space="preserve">2. Duljina moderniziranih željezničkih pruga </t>
  </si>
  <si>
    <t>3. Broj uklonjenih uskih grla na mreži pruga</t>
  </si>
  <si>
    <t xml:space="preserve">1. 400 km </t>
  </si>
  <si>
    <t>3.879.354.967,15 / 1.228.617.293,78</t>
  </si>
  <si>
    <t>OPKK/PKK/CEF/</t>
  </si>
  <si>
    <t>3114 – Izgradnja i održavanje željezničke infrastrukture,</t>
  </si>
  <si>
    <t>3111 – Priprema i provedba projekata sufinanciranih sredstvima fondova EU,</t>
  </si>
  <si>
    <t>kredit, ostalo</t>
  </si>
  <si>
    <t>M 3.1. (I) Energetska obnova lokacija pod upravljanjem i u vlasništvu javnih željezničkih društava</t>
  </si>
  <si>
    <t>Površina energetski obnovljenih zgrada</t>
  </si>
  <si>
    <r>
      <t>25.000 m</t>
    </r>
    <r>
      <rPr>
        <vertAlign val="superscript"/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 xml:space="preserve"> </t>
    </r>
  </si>
  <si>
    <t>25.848.696,00 / 14.699.980,09</t>
  </si>
  <si>
    <t>M 3.2. (I) Izgradnja infrastrukture za punjenje vozila na baterijski i hibridni pogon te pogon na alternativne izvore energije</t>
  </si>
  <si>
    <t>2K/2025</t>
  </si>
  <si>
    <t>Broj izgrađenih punionica u kolodvorima</t>
  </si>
  <si>
    <t>729.975,45 / 729.975,45</t>
  </si>
  <si>
    <t xml:space="preserve">NPOO/ </t>
  </si>
  <si>
    <t>3111 – Priprema i provedba projekata sufinanciranih sredstvima fondova EU</t>
  </si>
  <si>
    <t>M 3.3. (I) Ugradnja infrastrukture za korištenje obnovljivih izvora energije</t>
  </si>
  <si>
    <t>Broj objekata na kojima su ugrađene fotonaponske ćelije</t>
  </si>
  <si>
    <t>1.100.000,00 / 200.000,00</t>
  </si>
  <si>
    <t>PKK/CEF/</t>
  </si>
  <si>
    <t>M 4.1. (I) Izgradnja infrastrukture za integraciju željeznice u javni prijevoz putnika na glavnim prometnim čvorištima</t>
  </si>
  <si>
    <t>1. Broj izgrađenih terminala integriranog prijevoza</t>
  </si>
  <si>
    <t xml:space="preserve">2. Broj službenih mjesta prilagođenih integriranom prijevozu </t>
  </si>
  <si>
    <t>n/p / n/p</t>
  </si>
  <si>
    <t>M 4.2. (I) Modernizacija postojeće i izgradnja nove željezničke infrastrukture za intermodalni prijevoz</t>
  </si>
  <si>
    <t xml:space="preserve">1. Broj izgrađenih terminala intermodalnih prijevoza </t>
  </si>
  <si>
    <t>2. Broj službenih mjesta prilagođenih intermodalnom prijevozu</t>
  </si>
  <si>
    <t>3114 – Izgradnja i održavanje željezničke infrastrukture, ,kredit, ostalo</t>
  </si>
  <si>
    <t>M 4.3. (I) Unaprjeđenje kapaciteta željezničke infrastrukture na području luka (u pomorskom i riječnom prometu)</t>
  </si>
  <si>
    <t>Broj luka s unaprijeđenim pristupom željezničkoj infrastrukturi</t>
  </si>
  <si>
    <t>LUČKE UPRAVE/ HŽI</t>
  </si>
  <si>
    <t xml:space="preserve">12.608.666,80 / 4.645.298,29 </t>
  </si>
  <si>
    <t xml:space="preserve">OPKK/PKK/CEF/ </t>
  </si>
  <si>
    <t xml:space="preserve">3114 – Izgradnja i održavanje željezničke infrastrukture </t>
  </si>
  <si>
    <t>M 4.4. (I) Izgradnja željezničke infrastrukture u svrhu pristupa zračnim terminalima</t>
  </si>
  <si>
    <t>Broj izrađene dokumentacije za povezivanje zračnih terminala povezanih sa željezničkom mrežom</t>
  </si>
  <si>
    <t xml:space="preserve">800.000,00 / 200.000,00 </t>
  </si>
  <si>
    <t xml:space="preserve">PKK/CEF/ </t>
  </si>
  <si>
    <t xml:space="preserve">3114 – Izgradnja i održavanje željezničke infrastrukture, </t>
  </si>
  <si>
    <t>3111 – Priprema i provedba projekata sufinanciranih sredstvima fondova EU - 31 promet, prometna infrastruktura i komunikacije.</t>
  </si>
  <si>
    <t>5. Poboljšanje sigurnosti željezničkog sustava</t>
  </si>
  <si>
    <t>M 5.1. (I) Unaprjeđenje prometno – upravljačkog i signalno – sigurnosnog infrastrukturnog podsustava</t>
  </si>
  <si>
    <t xml:space="preserve">1. Duljina pruga opremljenih ERTMS-om </t>
  </si>
  <si>
    <t xml:space="preserve">2. Duljina pruga uvedenih u središnje upravljanje prometom </t>
  </si>
  <si>
    <t>235.622.801,78 / 24.136.969,94</t>
  </si>
  <si>
    <r>
      <t xml:space="preserve"> 3111 – Priprema i provedba projekata sufinanciranih sredstvima fondova EU - 31 promet, prometna infrastruktura i komunikacije</t>
    </r>
    <r>
      <rPr>
        <sz val="11"/>
        <color theme="1"/>
        <rFont val="Arial"/>
        <family val="2"/>
      </rPr>
      <t xml:space="preserve"> </t>
    </r>
    <r>
      <rPr>
        <sz val="7"/>
        <color rgb="FF000000"/>
        <rFont val="Arial"/>
        <family val="2"/>
      </rPr>
      <t>,kredit, ostalo</t>
    </r>
  </si>
  <si>
    <t>M 5.2. (I) Unaprjeđenje i modernizacija križanja sa željezničkom prugom</t>
  </si>
  <si>
    <t xml:space="preserve">Broj križanja željezničke pruge s drugim prometnicama osiguranih uređajima </t>
  </si>
  <si>
    <t xml:space="preserve">HŽI </t>
  </si>
  <si>
    <t>95.916.384,63 / 31.014.931,32</t>
  </si>
  <si>
    <t>M 5.3. (I) Unaprjeđenje infrastrukture za sigurnosne i tehničke kontrole</t>
  </si>
  <si>
    <t>4K/2024</t>
  </si>
  <si>
    <t>Broj ugrađenih mjernih stanica na prugama osnovne mreže</t>
  </si>
  <si>
    <t xml:space="preserve">15.626.119,85 / 15.626.119,85 </t>
  </si>
  <si>
    <t xml:space="preserve">CEF/ </t>
  </si>
  <si>
    <t xml:space="preserve"> 3111 – Priprema i provedba projekata sufinanciranih sredstvima fondova EU - 31 promet, prometna infrastruktura i komunikacije.</t>
  </si>
  <si>
    <t>M 5.4. (R) Usklađenje nacionalnih tehničkih i sigurnosnih pravila uvjetima interoperabilnosti</t>
  </si>
  <si>
    <t>Broj izmijenjenih/dopunjenih tehničkih propisa</t>
  </si>
  <si>
    <r>
      <t xml:space="preserve">M 5.5. (I) Prilagodba željezničke infrastrukture zahtjevima </t>
    </r>
    <r>
      <rPr>
        <i/>
        <sz val="7"/>
        <color rgb="FF000000"/>
        <rFont val="Arial"/>
        <family val="2"/>
      </rPr>
      <t>Schengenskog</t>
    </r>
    <r>
      <rPr>
        <sz val="7"/>
        <color rgb="FF000000"/>
        <rFont val="Arial"/>
        <family val="2"/>
      </rPr>
      <t xml:space="preserve"> prostora</t>
    </r>
  </si>
  <si>
    <t>4K/2025</t>
  </si>
  <si>
    <r>
      <t xml:space="preserve">Broj graničnih kolodvora prilagođenih zahtjevima </t>
    </r>
    <r>
      <rPr>
        <i/>
        <sz val="7"/>
        <color rgb="FF000000"/>
        <rFont val="Arial"/>
        <family val="2"/>
      </rPr>
      <t>Schengenskog</t>
    </r>
    <r>
      <rPr>
        <sz val="7"/>
        <color rgb="FF000000"/>
        <rFont val="Arial"/>
        <family val="2"/>
      </rPr>
      <t xml:space="preserve"> prostora. </t>
    </r>
  </si>
  <si>
    <t>15.349.392,79 / 5.395.182,16</t>
  </si>
  <si>
    <t xml:space="preserve">3114 – Izgradnja i održavanje željezničke infrastrukture, kredit, ostalo </t>
  </si>
  <si>
    <t>Strateški cilj</t>
  </si>
  <si>
    <t>Naziv pokazatelja</t>
  </si>
  <si>
    <t>Početna vrijednost</t>
  </si>
  <si>
    <t>Ciljna vrijednost 2032.</t>
  </si>
  <si>
    <t>Izvor podataka</t>
  </si>
  <si>
    <t>STRATEŠKI CILJ I.: ODRŽIV I KONKURENTAN ŽELJEZNIČKI SUSTAV</t>
  </si>
  <si>
    <t xml:space="preserve">II.02.11.25 </t>
  </si>
  <si>
    <t xml:space="preserve">Udio moderniziranih željezničkih pruga u ukupnoj željezničkoj mreži RH (%) </t>
  </si>
  <si>
    <t>II.02.11.24</t>
  </si>
  <si>
    <t>Udio obnovljenih željezničkih pruga u ukupnoj željezničkoj mreži RH (%)</t>
  </si>
  <si>
    <t>II.02.11.26</t>
  </si>
  <si>
    <t>Udio ostvarene produktivnosti po zaposlenom u društvima HŽ-a u ukupno ostvarenoj produktivnosti po zaposlenome u RH</t>
  </si>
  <si>
    <t xml:space="preserve">MMPI </t>
  </si>
  <si>
    <t>II.02.11.23</t>
  </si>
  <si>
    <t>Udio ulaganja u željezničku infrastrukturu u BDP-u</t>
  </si>
  <si>
    <t>STRATEŠKI CILJ II.: INTEGRIRAN I INTERMODALAN ŽELJEZNIČKI SUSTAV</t>
  </si>
  <si>
    <t>II.02.11.22</t>
  </si>
  <si>
    <t>Udio željeznice u modalnoj podjeli prijevoza putnika</t>
  </si>
  <si>
    <t>2,4 (2019.)</t>
  </si>
  <si>
    <t>II.02.11.21</t>
  </si>
  <si>
    <t>Udio željeznice u modalnoj podjeli teretnoga prometa</t>
  </si>
  <si>
    <t>24,4 (2020.)</t>
  </si>
  <si>
    <t>STRATEŠKI CILJ III.: SIGURAN I DOSTUPAN ŽELJEZNIČKI SUSTAV</t>
  </si>
  <si>
    <t>II.02.11.20</t>
  </si>
  <si>
    <t>Udio izvanrednih događaja u željezničkom prometu u ukupnom broju prometnih nesreća</t>
  </si>
  <si>
    <t>0,26 % (2020.)</t>
  </si>
  <si>
    <t>II.02.11.19</t>
  </si>
  <si>
    <t>Kašnjenja vlakova za prijevoz putnika (na 100 km)</t>
  </si>
  <si>
    <t>5,75 (2020.)</t>
  </si>
  <si>
    <t xml:space="preserve">HŽI, HŽPP </t>
  </si>
  <si>
    <t>II.02.11.27</t>
  </si>
  <si>
    <t>Kašnjenja vlakova za prijevoz tereta (na 100 km)</t>
  </si>
  <si>
    <t>140 (2020.)</t>
  </si>
  <si>
    <t>strateški cilj[1]</t>
  </si>
  <si>
    <t>NP-a</t>
  </si>
  <si>
    <t>ciljna vrijednost 2030</t>
  </si>
  <si>
    <t>ODRŽIV I KONKURENTAN ŽELJEZNIČKI SUSTAV</t>
  </si>
  <si>
    <t>1. Poboljšanje ekonomske i financijske održivosti upravljanja željezničkim sustavom</t>
  </si>
  <si>
    <t>OI.02.11.58 Subvencija po vlak-km u javnom putničkom prijevozu (EUR)</t>
  </si>
  <si>
    <t>OI.02.11.59 prihod po zaposlenome u javnim željezničkim društvima (EUR)</t>
  </si>
  <si>
    <t>OI.02.11.60 Udio visokoobrazovanih u ukupnom broju zaposlenih u javnim željezničkim društvima (%)</t>
  </si>
  <si>
    <t>INTEGRIRAN I INTERMODALAN ŽELJEZNIČKI SUSTAV</t>
  </si>
  <si>
    <t>2. Unaprjeđenje usluga u željezničkom prijevozu</t>
  </si>
  <si>
    <t>OI.02.11.28 Željeznički promet – ukupni godišnji prijevoz putnika (mil.)</t>
  </si>
  <si>
    <t>OI.02.11.61 Udio integriranog prijevoza putnika željeznicom u ukupnom prijevozu (%)</t>
  </si>
  <si>
    <t>OI.02.11.62 Prosječna ostvarena godišnja ocjena zadovoljstva putnika pruženom uslugom željezničkog prijevoza (1-5)</t>
  </si>
  <si>
    <t>OI.02.11.04 količina robe u intermodalnim prijevoznim jedinicama u željezničkom prijevozu prema vrsti prijevoza i vrsti prijevozne jedinice (mil. t)</t>
  </si>
  <si>
    <t>DZS</t>
  </si>
  <si>
    <t>subvencija po vlak-km u javnom putničkom prijevozu (EUR)</t>
  </si>
  <si>
    <t>iznos prihoda po zaposlenom u javnim željezničkim društvima (EUR)</t>
  </si>
  <si>
    <t>udio visokoobrazovanih u ukupnom broju zaposlenih u javnim željezničkim društvima (%)</t>
  </si>
  <si>
    <t xml:space="preserve">željeznički promet – ukupni godišnji prijevoz putnika (mil.) </t>
  </si>
  <si>
    <t>udio integriranog prijevoza putnika željeznicom u ukupnom prijevozu (%)</t>
  </si>
  <si>
    <t xml:space="preserve">prosječna ostvarena godišnja ocjena zadovoljstva putnika pruženom uslugom željezničkog prijevoza (1-5) </t>
  </si>
  <si>
    <t>količina robe u intermodalnim prijevoznim jedinicama u željezničkom prijevozu prema vrsti prijevoza i vrsti prijevozne jedinice (mil. t)</t>
  </si>
  <si>
    <t>Prihodi od prodaje s poduzetnicima unutar grupe</t>
  </si>
  <si>
    <t>Prihodi od prodaje</t>
  </si>
  <si>
    <t>Ostali poslovni prihodi</t>
  </si>
  <si>
    <t xml:space="preserve">Poslovni prihodi </t>
  </si>
  <si>
    <t>Troškovi sirovina i materijala</t>
  </si>
  <si>
    <t>Troškovi prodane robe</t>
  </si>
  <si>
    <t>Ostali vanjski troškovi</t>
  </si>
  <si>
    <t>Materijalni troškovi</t>
  </si>
  <si>
    <t xml:space="preserve">Neto plaće i nadnice </t>
  </si>
  <si>
    <t>Troškovi poreza i doprinosa iz plaća</t>
  </si>
  <si>
    <t>Doprinosi na plaće</t>
  </si>
  <si>
    <t>Troškovi osoblja</t>
  </si>
  <si>
    <t>Amortizacija</t>
  </si>
  <si>
    <t>Ostali troškovi</t>
  </si>
  <si>
    <t xml:space="preserve">Vrijednosno usklađenje </t>
  </si>
  <si>
    <t>Rezerviranja</t>
  </si>
  <si>
    <t>Poslovni rashodi</t>
  </si>
  <si>
    <t>Ostali prihodi s osnove kamata</t>
  </si>
  <si>
    <t>Tečajne razlike i ostali financijski prihodi</t>
  </si>
  <si>
    <t>Financijski prihodi</t>
  </si>
  <si>
    <t>Rashodi s osnove kamata i slični rashodi</t>
  </si>
  <si>
    <t>Tečajne razlike i drugi rashodi</t>
  </si>
  <si>
    <t>Ostali financijski rashodi</t>
  </si>
  <si>
    <t>Financijski rashodi</t>
  </si>
  <si>
    <t>UKUPNI PRIHODI</t>
  </si>
  <si>
    <t>UKUPNI RASHODI</t>
  </si>
  <si>
    <t>DOBIT/(GUBITAK) PRIJE OPOREZIVANJA</t>
  </si>
  <si>
    <t>Porez na dobit</t>
  </si>
  <si>
    <t>DOBIT/(GUBITAK) RAZDOBLJA</t>
  </si>
  <si>
    <t>SVEOBUHVATNA DOBIT/(GUBITAK) RAZDOBLJA</t>
  </si>
  <si>
    <t>Prihodi na temelju upotrebe vlastitih proizvoda, robe i usluga</t>
  </si>
  <si>
    <t>Ostali poslovni prihodi s poduzetnicima unutar grupe</t>
  </si>
  <si>
    <t>Prihodi od ostalih dugotrajnih financijskih ulaganja  i zajmova poduzetnicima unutar grupe</t>
  </si>
  <si>
    <t>Ostali prihodi s osnove kamata iz odnosa s poduzetnicima unutar grupe</t>
  </si>
  <si>
    <t>Rashodi s osnove kamata i slični rashodi s poduzetnicima unutar grupe</t>
  </si>
  <si>
    <t>UKUPNO u kn</t>
  </si>
  <si>
    <t>Alati, pog.inv.i transp.sredstva</t>
  </si>
  <si>
    <t>Cestovna sredstva- MSFI 16</t>
  </si>
  <si>
    <t>Mater. imovina u pripremi</t>
  </si>
  <si>
    <t>Predujmovi za materijalnu imovinu</t>
  </si>
  <si>
    <t>MATERIJALNA IMOVINA</t>
  </si>
  <si>
    <t>NABAVNA VRIJEDNOST</t>
  </si>
  <si>
    <t>Nove nabavke i investicije</t>
  </si>
  <si>
    <t>Prijenos s  imovine u pripremi</t>
  </si>
  <si>
    <t>Ispravak (kriva knjiženja)</t>
  </si>
  <si>
    <t>Manjak i besplatno dana imovina</t>
  </si>
  <si>
    <t>Rashod, prodaja i likvidacija</t>
  </si>
  <si>
    <t>ISPRAVAK VRIJEDNOSTI</t>
  </si>
  <si>
    <t>Amortizacija u toku godine</t>
  </si>
  <si>
    <t>SADAŠNJA VRIJEDNOST</t>
  </si>
  <si>
    <t>Stanje 31. prosinac 2020. godine</t>
  </si>
  <si>
    <t>Stanje 31. prosinac 2021. godine</t>
  </si>
  <si>
    <t>JAVNO DOBRO u kn</t>
  </si>
  <si>
    <t xml:space="preserve">Troškovi sirovina i materijala </t>
  </si>
  <si>
    <t>I-XII 2021.</t>
  </si>
  <si>
    <t>I-XII 2020.</t>
  </si>
  <si>
    <t>2021.</t>
  </si>
  <si>
    <t>Trošak sirovina i materijala</t>
  </si>
  <si>
    <t>a) Troškovi sirovina i materijala</t>
  </si>
  <si>
    <t>4000000    UTROŠENI MATERIJAL</t>
  </si>
  <si>
    <t>4000100    UTROŠENI MATERIJAL-POVEZANA DRUŠTVA</t>
  </si>
  <si>
    <t>Trošak rezervnih dijelova</t>
  </si>
  <si>
    <t>4001000    UTROŠENI GRAĐEVINSKI MATERIJAL</t>
  </si>
  <si>
    <t>Trošak sitnog inventara, autoguma i zaštitne odjeće</t>
  </si>
  <si>
    <t>4002000    UTROŠENI OPĆI I POTROŠNI MATERIJAL</t>
  </si>
  <si>
    <t>Trošak energije</t>
  </si>
  <si>
    <t>4002001    TOPLI I HLADNI NAPITCI - RADNICI</t>
  </si>
  <si>
    <t>Trošak energije - povezana društva</t>
  </si>
  <si>
    <t>4003000    UTROŠENI UREDSKI MATERIJAL</t>
  </si>
  <si>
    <t>4003100    UTROŠENI UREDSKI MATERIJAL-POVEZANA</t>
  </si>
  <si>
    <r>
      <rPr>
        <b/>
        <u/>
        <sz val="11"/>
        <color theme="1"/>
        <rFont val="Calibri"/>
        <family val="2"/>
        <charset val="238"/>
        <scheme val="minor"/>
      </rPr>
      <t>Troškovi prodane robe</t>
    </r>
    <r>
      <rPr>
        <sz val="11"/>
        <color theme="1"/>
        <rFont val="Calibri"/>
        <family val="2"/>
        <charset val="238"/>
        <scheme val="minor"/>
      </rPr>
      <t xml:space="preserve"> (prodaja i donacija)</t>
    </r>
  </si>
  <si>
    <t>4004000    ZAŠTITNA OPREMA I DEZINFEKCIJSKA SREDST</t>
  </si>
  <si>
    <t>4006000    UTROŠENI OTPADNI MATERIJAL</t>
  </si>
  <si>
    <t>4009000    OSTALI MATERIJAL</t>
  </si>
  <si>
    <t>Usluge telefona, pošte i prijevoza</t>
  </si>
  <si>
    <t>4010000    ELEKTRICNA ENERGIJA</t>
  </si>
  <si>
    <t>Troškovi prijevoza - povezana društva</t>
  </si>
  <si>
    <t>4011000    PLIN</t>
  </si>
  <si>
    <t>4015000    GORIVO ZA OSOBNA VOZILA</t>
  </si>
  <si>
    <t>Usluge održavanja</t>
  </si>
  <si>
    <t>4015100    GOR. ZA OS.VOZ.KORIŠT.U PRIV.SVRHE-PLAĆ</t>
  </si>
  <si>
    <t>Usluge održavanja - povezana društva</t>
  </si>
  <si>
    <t>4015200    GORIVO ZA TERETNA VOZILA</t>
  </si>
  <si>
    <t>Usluge najma</t>
  </si>
  <si>
    <t>4015201    GORIVO ZA VLASTITE AUTOBUSE</t>
  </si>
  <si>
    <t>Usluge najma - povezana društva</t>
  </si>
  <si>
    <t>4015300    GORIVO ZA OSTALU POTR-KOSILICE,AGR,SITN</t>
  </si>
  <si>
    <t>Usluge čišćenja</t>
  </si>
  <si>
    <t>4015400    OSTALI ENERGENTI(DRVO,UGLJEN,LOŽ ULJE,M</t>
  </si>
  <si>
    <t>Usluge čišćenja - povezana</t>
  </si>
  <si>
    <t>4015500    ULJA, MASTI I MAZIVA</t>
  </si>
  <si>
    <t>Usluge čuvanja imovine</t>
  </si>
  <si>
    <t>4015600    GORIVO ZA PRUŽNA VOZILA I RADNE STROJEV</t>
  </si>
  <si>
    <t>Komunalne usluge</t>
  </si>
  <si>
    <t>4016000    TOPLINSKA ENERGIJA</t>
  </si>
  <si>
    <t>4016001    TROŠKOVI GRIJANJA PO ESCO MODELU</t>
  </si>
  <si>
    <t>4040000    UTROŠENI REZERVNI DIJELOVI</t>
  </si>
  <si>
    <t>4050000    OTPIS SITNOG INVENTARA U UPOTREBI</t>
  </si>
  <si>
    <t>4052000    OTPIS AUTOGUMA U UPOTREBI</t>
  </si>
  <si>
    <t>4053000    OTPIS ZAŠTITNE ODJEĆE I OBUĆE</t>
  </si>
  <si>
    <t>4054000    OTPIS SLUŽBENE ODJEĆE I OBUĆE</t>
  </si>
  <si>
    <t>b) Troškovi prodane robe</t>
  </si>
  <si>
    <t>7110000    NAB.VRIJ.PROD.MATER,REZ.DIJEL.I SIT.INV</t>
  </si>
  <si>
    <t>c) Ostali vanjski troškovi</t>
  </si>
  <si>
    <t>4103000    HPT TROŠKOVI</t>
  </si>
  <si>
    <t>4103100    FIKSNI TELEFONI</t>
  </si>
  <si>
    <t>4103200    MOBILNI TELEFONI</t>
  </si>
  <si>
    <t>4103400    PODATKOVNE MREŽE</t>
  </si>
  <si>
    <t>4109200    OSTALI TROŠKOVI PRIJEVOZA IZMEĐU POVEZA</t>
  </si>
  <si>
    <t>4109000    OSTALI TROŠKOVI PRIJEVOZA</t>
  </si>
  <si>
    <t>4120000    TEKUĆE ODRŽAVANJE</t>
  </si>
  <si>
    <t>4120001    TEKUĆE ODRŽAVANJE-UŠTEDA VODE PO ESCO M</t>
  </si>
  <si>
    <t>4120003    TEKUĆE ODRŽAVANJE - PRIČUVA</t>
  </si>
  <si>
    <t>4122000    TEKUĆE ODRŽAVANJE IZMEĐU POVEZANIH DRUŠ</t>
  </si>
  <si>
    <t>4122200    TEK.ODRŽ.TERETNIH VAG-RADIONICE-MATER-C</t>
  </si>
  <si>
    <t>4123000    TEKUĆE ODRŽAVANJE OSOBNIH VOZILA</t>
  </si>
  <si>
    <t>4123100    TEK. ODRŽ. OSOBNIH VOZ U PRIV.SVRHE PLA</t>
  </si>
  <si>
    <t>4123200    TEKUĆE ODRŽAVANJE TERETNIH VOZILA</t>
  </si>
  <si>
    <t>4123201    TEKUĆE ODRŽAVANJE AUTOBUSA</t>
  </si>
  <si>
    <t>4124000    TEK. ODRŽ. OSOBNIH VOZ - OPERATIVNI NAJ</t>
  </si>
  <si>
    <t>4124001    TEK. ODRŽ. OSOBNIH VOZ PL. U NARAVI - O</t>
  </si>
  <si>
    <t>4124002    TEK. ODRŽ. TERETNIH VOZ - OPERATIVNI NA</t>
  </si>
  <si>
    <t>4140000    ZAKUP POSLOVNOG PROSTOR</t>
  </si>
  <si>
    <t>4141000    POSLOVNI NAJAM OSOBNIH VOZILA</t>
  </si>
  <si>
    <t>4142000    POSLOVNI NAJAM TERETNIH VOZILA</t>
  </si>
  <si>
    <t>4143000    POSLOVNI NAJAM STROJEVA I OPREME</t>
  </si>
  <si>
    <t>4144000    POSLOVNI NAJAM SLUŽBENIH CES. VOZILA U</t>
  </si>
  <si>
    <t>4145000    OSTALI POSLOVNI NAJAM I ZAKUP</t>
  </si>
  <si>
    <t>4145200    OSTALI POSLOVNI NAJAM I ZAKUP-POVEZANA</t>
  </si>
  <si>
    <t>4150000    PROPAGANDE I REKLAME U ZEMLJI</t>
  </si>
  <si>
    <t>4160000    SAJMOVI I IZLOŽBE</t>
  </si>
  <si>
    <t>4190000    VODA ZA PIĆE, PRANJE I SANITARIJE</t>
  </si>
  <si>
    <t>4190100    VODA GALONI</t>
  </si>
  <si>
    <t>4191000    USLUGE ČUVANJA IMOVINE</t>
  </si>
  <si>
    <t>4192000    USLUGE JAVNE VATROGASNE SLUŽBE</t>
  </si>
  <si>
    <t>4193000    DERATIZACIJA I DEZINFEKCIJA</t>
  </si>
  <si>
    <t>4193001    USLUGA DEZINFEKCIJE PROSTORA-COVID 19</t>
  </si>
  <si>
    <t>4194000    OSTALE KOMUNALNE USLUG</t>
  </si>
  <si>
    <t>4194001    USLUGA ODVOZA KOMUNALNOG OTPA</t>
  </si>
  <si>
    <t>4195000    ČIŠČENJE ZGRADA OD POVEZANIH DRUŠTAVA</t>
  </si>
  <si>
    <t>4195001    ČIŠČENJE ZGRADA OD NEPOVEZANIH DRUŠTAVA</t>
  </si>
  <si>
    <t>4199000    OSTALE USLUGE</t>
  </si>
  <si>
    <t>Ukupno materijalni troškovi POV 2021.</t>
  </si>
  <si>
    <t>MATERIJALNI TROŠKOVI</t>
  </si>
  <si>
    <t>OSTALI TROŠKOVI</t>
  </si>
  <si>
    <t>5. Ostali troškovi</t>
  </si>
  <si>
    <t>Dnevnice za službena putovanja i putni troškovi</t>
  </si>
  <si>
    <t>4400000    DNEVNICE ZA SLUŽBENA PUTOVANJA - U ZEML</t>
  </si>
  <si>
    <t>Prijevoz na službenom putu - povezana društva</t>
  </si>
  <si>
    <t>4401000    DNEVNICE ZA SLUŽBENA PUTOVANJA - U INOZ</t>
  </si>
  <si>
    <t>Nadoknade troškova zaposlenima, potpore i otpremnine</t>
  </si>
  <si>
    <t>4403000    NOCENJE U INOZEMSTVU</t>
  </si>
  <si>
    <t>Nadoknade troškova zaposlenima (prijevoz) - povezana društva</t>
  </si>
  <si>
    <t>4405000    NOĆENJE U ZEMLJI</t>
  </si>
  <si>
    <t>Troškovi reprezentacije</t>
  </si>
  <si>
    <t>4410000    PRIJEVOZ NA SLUŽBENOM PUTU - U ZEMLJI</t>
  </si>
  <si>
    <t xml:space="preserve">Naknade članovima NO </t>
  </si>
  <si>
    <t>4410010    CESTARINE U ZEMLJI PLAĆA POSLODAVAC-SLU</t>
  </si>
  <si>
    <t xml:space="preserve">Naknade članovima revizorskog odbora </t>
  </si>
  <si>
    <t>4410200    PRIJEVOZ NA SLUŽB.PUTU-U ZEMLJI OD POV.</t>
  </si>
  <si>
    <t xml:space="preserve">Intelektualne usluge </t>
  </si>
  <si>
    <t>4410300    OSTALI TROŠKOVI NA SLUŽBENOM PUTU - U Z</t>
  </si>
  <si>
    <t>Konzultantske usluge</t>
  </si>
  <si>
    <t>4411000    PRIJEVOZ NA SLUŽB. PUTU - U INOZEM</t>
  </si>
  <si>
    <t>Odvjetničke usluge</t>
  </si>
  <si>
    <t>4411300    OSTALI TROŠKOVI NA SLUŽB. PUTU - U INOZ</t>
  </si>
  <si>
    <t>Troškovi obuke i izobrazbe, stipendije</t>
  </si>
  <si>
    <t>4412000    KORIŠTENJE VLASTITOG AUTOMOBILA U SLUŽB</t>
  </si>
  <si>
    <t>Zdravstvene usluge (sistematski pregledi i ostalo)</t>
  </si>
  <si>
    <t>4420000    PRIJEVOZ NA RAD I S RADA</t>
  </si>
  <si>
    <t>Premije osiguranja</t>
  </si>
  <si>
    <t>4421000    PRIJEVOZ NA RAD I S RADA (P-2 KARTE)</t>
  </si>
  <si>
    <t>Održavanje SAP sustava</t>
  </si>
  <si>
    <t>4450000    REPREZENTACIJA U ZEMLJI</t>
  </si>
  <si>
    <t>Bankovne usluge i troškovi platnog prometa</t>
  </si>
  <si>
    <t>4452000    REPREZENTACIJA U INOZEMSTVU</t>
  </si>
  <si>
    <t>Doprinosi, članarine i slična davanja</t>
  </si>
  <si>
    <t>4460000    AUTORSKI HONORARI</t>
  </si>
  <si>
    <t>Vodoprivredna naknada i sl. - povezana društva</t>
  </si>
  <si>
    <t>4461000    PRIVREMENI I POVREMENI POSLOVI</t>
  </si>
  <si>
    <t>4463000    NAKNADE ZA AUTORSKO DJELO UMJETNIKA</t>
  </si>
  <si>
    <t>4470000    TROŠKOVI DOPUNSKOG ZDRAVSTVENOG OSIGUR</t>
  </si>
  <si>
    <t>Ostali troškovi - povezana društva</t>
  </si>
  <si>
    <t>4480000    JEDNOKRATNI DODATAK-NEOPOREZI</t>
  </si>
  <si>
    <t>4480001    NEOPOREZIVE NAGRADE RADNICIM</t>
  </si>
  <si>
    <t>4481000    OTPREMNINA</t>
  </si>
  <si>
    <t>4481001    OTPREMNINA– OSOBNO UVJETOVANI OTKAZ</t>
  </si>
  <si>
    <t>4482000    JUBILARNA NAGRADA</t>
  </si>
  <si>
    <t>4483000    DAN DJECJE RADOSTI -NOVAC I RAČUNI BEZ</t>
  </si>
  <si>
    <t>4484000    POM.U SLUČ.SMRTI ČLANA OBITELJI</t>
  </si>
  <si>
    <t>4484400    POMOC U SLUCAJU SMRTI ZAPOSLENIKA</t>
  </si>
  <si>
    <t>4485300    POMOC U SLUC.BOLOV.PREKO 90 DANA</t>
  </si>
  <si>
    <t>4487300    OTPREMNINE POTICAJNE-VLASTITA SREDSTVA</t>
  </si>
  <si>
    <t>4490000    NAKNADE CLANOVIMA NADZORNIH ODBO</t>
  </si>
  <si>
    <t>4490100    NAKNADE CLANOVIMA REVIZORSKOG ODBO</t>
  </si>
  <si>
    <t>4500000    INTELEKTUALNE USLUGE</t>
  </si>
  <si>
    <t>4500001    KONZULTANTSKE USLUG</t>
  </si>
  <si>
    <t>4500002    ODVJETNIČKE USLUGE</t>
  </si>
  <si>
    <t>4511000    STRUČNO OBRAZOVANJE</t>
  </si>
  <si>
    <t>4512000    STIPENDIJE PO UGOVORU</t>
  </si>
  <si>
    <t>4513000    POTPORA DJETETU ZA ŠKOLOVANJE</t>
  </si>
  <si>
    <t>4520000    OBAVEZNI I SISTEMATSKI PREGLEDI</t>
  </si>
  <si>
    <t>4521000    NEOBAVEZNI SISTEMATSKI PREGLEDI</t>
  </si>
  <si>
    <t>4528000    TROŠKOVI TESTIRANJA RADNIKA – COVID 19</t>
  </si>
  <si>
    <t>4529000    OSTALE ZDRAVSTVENE USLUG</t>
  </si>
  <si>
    <t>4532000    PREMIJE ZA KOLEKTIVNO OSIGURANJE OSOBA</t>
  </si>
  <si>
    <t>4534000    PREMIJE ZA KASKO-CESTOVNA VOZILA</t>
  </si>
  <si>
    <t>4536000    PREMIJE ZA OBAVEZNO OSIGURANJE-CESTOVN</t>
  </si>
  <si>
    <t>4541100    INFORMATIČKE USLUGE  - SAP</t>
  </si>
  <si>
    <t>4550000    PROTUPOŽARNA ZAŠTITA</t>
  </si>
  <si>
    <t>4553000    OSTALI TROŠKOVI ZAŠTITE NA RADU</t>
  </si>
  <si>
    <t>Ukupno ostali troškovi POV 2021.</t>
  </si>
  <si>
    <t>4560000    BANKARSKE USLUG</t>
  </si>
  <si>
    <t>4561000    USLUGE PLATNOG PROMET</t>
  </si>
  <si>
    <t>4562000    CLANARINE UDRUŽENJIMA</t>
  </si>
  <si>
    <t>4563000    CLANARINE UIC-U, CER-U I BCC-U</t>
  </si>
  <si>
    <t>4570000    NAKNADA ZA KVOTNO ZAPOŠLJAVANJE INVALIDA</t>
  </si>
  <si>
    <t>4571000    DOPRINOS ZA KORIŠTENJE GRADSKOG ZEMLJIŠ</t>
  </si>
  <si>
    <t>4572000    NAKNADA ZA OPTER.OKOLIŠA OPASNIM OTPADO</t>
  </si>
  <si>
    <t>4573000    VODOPRIVREDNA NAKNADA PO OSNOVI RJEŠENJ</t>
  </si>
  <si>
    <t>4573100    NAKNADA ZA KORIŠTENJE VODA</t>
  </si>
  <si>
    <t>4573200    NAKNADA ZA ZAŠTITU VODA</t>
  </si>
  <si>
    <t>4574000    SPOMENICKA RENTA</t>
  </si>
  <si>
    <t>4575000    DOPRINOS ZA ŠUME</t>
  </si>
  <si>
    <t>4576000    DOPRINOS ZA KOMORE</t>
  </si>
  <si>
    <t>4583000    OBRACUNATI PDV NA DAROVANJ</t>
  </si>
  <si>
    <t>4588000    OBRAČUNATI PDV NA SADAŠNJU VRIJEDNOST SREDSTAVA</t>
  </si>
  <si>
    <t>4589000    TROŠAK NEPRIZNATOG PDV 50% - OPERATIVNI</t>
  </si>
  <si>
    <t>4590000    NEPROIZVODNE ZANATSKE USLUG</t>
  </si>
  <si>
    <t>4592000    NAKNADE ZA CESTOVNA VOZILA (REGISTRACIJ</t>
  </si>
  <si>
    <t>4592200    EKO POREZ KOD REGISTR.CESTOVNIH VOZILA</t>
  </si>
  <si>
    <t>4593000    STRUČNA LITERATURA,ČASOPISI I DRUGO</t>
  </si>
  <si>
    <t>4594000    VOZNI RED,UPUTE I ČASOPISI Hža</t>
  </si>
  <si>
    <t>4594200    VOZNI RED,UPUTE I ČASOPISI HŽa-POVEZANA</t>
  </si>
  <si>
    <t>4597000    TROŠKOVI DONACIJA</t>
  </si>
  <si>
    <t>4597001    TROŠKOVI SPONZORSTVA</t>
  </si>
  <si>
    <t>4598000    USKLADIŠTENJE OTPADNIH TVARI</t>
  </si>
  <si>
    <t>4599000    OSTALI TROŠKOVI</t>
  </si>
  <si>
    <t>4599010    OSTALI TROŠKOVI-POVEZANA DRUŠTVA</t>
  </si>
  <si>
    <t>4599200    TROŠKOVI SUFINANCIRANJA PRIJEVOZA ĐAKA</t>
  </si>
  <si>
    <t>4599300    NAKNADE ZA LEGALIZACIJU OBJEKATA</t>
  </si>
  <si>
    <t>Neto plaće i nadnice</t>
  </si>
  <si>
    <t xml:space="preserve">Troškovi poreza i doprinosa iz plaće </t>
  </si>
  <si>
    <t>Vrijednosno usklađenje kratkotrajnih potraživanja</t>
  </si>
  <si>
    <t>Vrijednosno usklađenje kratkotrajnih potraživanja - povezana društva</t>
  </si>
  <si>
    <t>Vrijednosno potraživanje kratkotrajnih potraživanja  - MSFI 9</t>
  </si>
  <si>
    <t>TROŠKOVI OSOBLJA</t>
  </si>
  <si>
    <t>UKUPNO IMOVINA</t>
  </si>
  <si>
    <t>OD TOGA IMOVINA POD UPRAVLJANJEM</t>
  </si>
  <si>
    <t>Aktiviranje prethodno ispravljeneimovine u pripremi</t>
  </si>
  <si>
    <t>RB</t>
  </si>
  <si>
    <t>Naziv investicija</t>
  </si>
  <si>
    <t>Planirano izvršenje na 31.12. u EUR</t>
  </si>
  <si>
    <t>Realizirano na 31.12. u EUR</t>
  </si>
  <si>
    <t>Odstupanje u stupnju izvršenja u %</t>
  </si>
  <si>
    <t xml:space="preserve">Ukupno </t>
  </si>
  <si>
    <t>Usporedba s Glavnom knjigom</t>
  </si>
  <si>
    <t>Realizirano u 2021. u EUR</t>
  </si>
  <si>
    <t xml:space="preserve">Planirano izvršenje </t>
  </si>
  <si>
    <t>u 2021.</t>
  </si>
  <si>
    <t>Odstupanje u realizaciji na 31.12. u EUR</t>
  </si>
  <si>
    <t>Odstupanje u realizaciji 2021. godine</t>
  </si>
  <si>
    <t>Planirani stupanj izvršenja na 31.12. u %</t>
  </si>
  <si>
    <t>Realizirani stupanj izvršenja na 31. 12. %</t>
  </si>
  <si>
    <t/>
  </si>
  <si>
    <t>XXX</t>
  </si>
  <si>
    <t>Kontrola (iznos 0,00)</t>
  </si>
  <si>
    <t xml:space="preserve"> </t>
  </si>
  <si>
    <t xml:space="preserve">31. prosinca 2021. u kunama </t>
  </si>
  <si>
    <t>31. prosinca 2020. u kunama</t>
  </si>
  <si>
    <t>Kontrola</t>
  </si>
  <si>
    <t>2021. godina u kunama</t>
  </si>
  <si>
    <t>2020. godina u kunama</t>
  </si>
  <si>
    <t>Troškovi rezerviranja za poticajne otpremnine</t>
  </si>
  <si>
    <t>a) Rezerv. za mirovine, otpremnine i sl. obv</t>
  </si>
  <si>
    <t>Troškovi rezerviranja za sudske sporove</t>
  </si>
  <si>
    <t>4200100    REZERVIRANJE TROŠKOVA ZA OTPREMNINE</t>
  </si>
  <si>
    <t>Troškovi rezerviranja za porezne obveze</t>
  </si>
  <si>
    <t>Troškovi rezerviranja za jubilarne nagrade</t>
  </si>
  <si>
    <t>b) Rezerviranja za porezne obveze</t>
  </si>
  <si>
    <t>Troškovi rezerviranja za neiskorišteni GO</t>
  </si>
  <si>
    <t>4200400    REZERVIRANJE TROŠKOVA ZA POREZNE OBVEZE</t>
  </si>
  <si>
    <t>Troškovi rezerviranja ostalih troškova</t>
  </si>
  <si>
    <t>c) Rezerviranja za započete sudske sporove</t>
  </si>
  <si>
    <t>4210000    REZERVIRANJE TROŠKOVA ZA SUDSKE SPOROVE</t>
  </si>
  <si>
    <t>d) Ostala rezerviranja</t>
  </si>
  <si>
    <t>4200200    REZERVIRANJE TROŠKOVA ZA JUBILARNE NAGR</t>
  </si>
  <si>
    <t>4200300    REZERVIRANJE TROŠKOVA ZA NEISKORIŠTENI</t>
  </si>
  <si>
    <t>4220000    REZERVIRANJE TROŠKOVA - NENAPL.POTR. MS</t>
  </si>
  <si>
    <t>4220001    REZERVIRANJE TROŠKOVA - NENAPL.POTR. MS</t>
  </si>
  <si>
    <t>4200500  REZERVIRANJE OSTALIH TROŠKOVA</t>
  </si>
  <si>
    <t>4. Amortizacija</t>
  </si>
  <si>
    <t>Amortizacija nematerijalne imovine</t>
  </si>
  <si>
    <t>4300000    AMORTIZACIJA</t>
  </si>
  <si>
    <t>Amortizacija nekretnina, postrojenja i imovine</t>
  </si>
  <si>
    <t>4301000    AMORTIZACIJA STANOVA</t>
  </si>
  <si>
    <t>4303000    AMORT.OSOBNIH VOZILA-BEZ OBRAČUNA PDV-A</t>
  </si>
  <si>
    <t>4304000    AMORT.OSOBNIH VOZILA-IMOV. S PRAVOM KOR</t>
  </si>
  <si>
    <t>4305000    AMORT.TERETNI VOZILA-IMOV. S PRAVOM KOR</t>
  </si>
  <si>
    <t>kto 0090000</t>
  </si>
  <si>
    <t>Prihod od kamata</t>
  </si>
  <si>
    <t>Iz odnosa s nepovezanim poduzetnicima i drugim osobama</t>
  </si>
  <si>
    <t>Prihod od tečajnih razlika</t>
  </si>
  <si>
    <t>Prihod od dividendi</t>
  </si>
  <si>
    <t>7711000    PRIHODI OD KAMATA- ZAJAM POVEZANA DR.</t>
  </si>
  <si>
    <t>7713200    PRIHODI OD ZATEZNIH KAMATA-POVEZANA DR.</t>
  </si>
  <si>
    <t>7712000    PRIHODI OD KAMATA NA NOVČANA SREDSTVA</t>
  </si>
  <si>
    <t>7713000    PRIHODI OD ZATEZNIH KAMATA</t>
  </si>
  <si>
    <t>7716000    PRIHODI OD KAMATA PO STAMB.KREDITIMA</t>
  </si>
  <si>
    <t>7720000    POZITIVNE TEČAJNE RAZLIKE PO KREDITIMA</t>
  </si>
  <si>
    <t>7723000    POZITIVNE TEČAJNE RAZLIKE PO DEVIZNIM R</t>
  </si>
  <si>
    <t>7724000    POZITIVNE TEČAJNE RAZLIKE PO FAKTURAMA</t>
  </si>
  <si>
    <t>7730000    PRIHODI OD DIVIDENDI</t>
  </si>
  <si>
    <t>Rashodi od kamata</t>
  </si>
  <si>
    <t>Rashodi od tečajnih razlika</t>
  </si>
  <si>
    <t>Ostali financijski rashodi - troškovi kredita</t>
  </si>
  <si>
    <t>1. Rashodi s osnove kamata i slični rashodi</t>
  </si>
  <si>
    <t xml:space="preserve">    s poduzetnicima unutar grupe</t>
  </si>
  <si>
    <t>7212200    RASHODI OD ZATEZNIH KAMATA-POVEZANA DRU</t>
  </si>
  <si>
    <t>3. Rashodi s osnove kamata i slični rashodi</t>
  </si>
  <si>
    <t>7210000    RASHODI KAMATA PO KREDITIMA</t>
  </si>
  <si>
    <t>7212000    RASHODI OD ZATEZNIH KAMATA</t>
  </si>
  <si>
    <t>7217000    RASHODI -KAMATE CASH POOLING</t>
  </si>
  <si>
    <t>7218000    RASHODI -KAMATE OPERATIVNI NAJAM</t>
  </si>
  <si>
    <t>4. Tečajne razlike i drugi rashodi</t>
  </si>
  <si>
    <t>7220000    NEGATIVNE TEČAJNE RAZLIKE PO KREDIT. ZA</t>
  </si>
  <si>
    <t>7223000    NEGATIVNE TEČAJNE RAZLIKE PO DEVIZNIM B</t>
  </si>
  <si>
    <t>7224000    NEGATIVNE TEČAJNE RAZLIKE PO FAKTURAMA</t>
  </si>
  <si>
    <t>7. Ostali financijski rashodi</t>
  </si>
  <si>
    <t>7240000    TROŠAK I OSIGURANJE KREDITA</t>
  </si>
  <si>
    <t>7250000    TROŠKOVI (NAKNADE, KTA) FACTORING</t>
  </si>
  <si>
    <t>IV. UKUPNO FINANCIJSKI RASHODI</t>
  </si>
  <si>
    <t>AMORTIZACIJA I ISPRAVAK VRIJEDNOSTI</t>
  </si>
  <si>
    <t>Rashodi od kamata iz odnosa s povezanim poduzetnicima</t>
  </si>
  <si>
    <t>VRIJEDNOSNO USKLAĐENJE KRATKOTRAJNIH POTRAŽIVANJA</t>
  </si>
  <si>
    <t>FINANCIJSKI PRIHODI</t>
  </si>
  <si>
    <t>FINANCIJSKI RASHODI</t>
  </si>
  <si>
    <t>Analitika</t>
  </si>
  <si>
    <t>Zbroj</t>
  </si>
  <si>
    <t>Inerni odnosi</t>
  </si>
  <si>
    <t>Vrijednosno usklađenje - interni odnosi</t>
  </si>
  <si>
    <t>Investicije i održavanje</t>
  </si>
  <si>
    <t>Izvanredni događaji / prometne nesreće</t>
  </si>
  <si>
    <t>Kašnjenje vlakova za prijevoz putnika na 100 km</t>
  </si>
  <si>
    <t>Kašnjenje vlakova za prijevoz tereta na 100 km</t>
  </si>
  <si>
    <t>Povezani cilj - KPI u HŽI</t>
  </si>
  <si>
    <r>
      <t>Udio emisija 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u željezničkom prometu u ukupnim emisijama (sektora prometa) (%)</t>
    </r>
  </si>
  <si>
    <t>vlak-km po zaposlenom</t>
  </si>
  <si>
    <t>?</t>
  </si>
  <si>
    <t>prihodi od prodaje / operativni troškovi</t>
  </si>
  <si>
    <t>Godišnji prosjek</t>
  </si>
  <si>
    <t>55 km/h</t>
  </si>
  <si>
    <t>35 km/h</t>
  </si>
  <si>
    <t>200 km</t>
  </si>
  <si>
    <t>Prihod od prodaje po zaposlenom</t>
  </si>
  <si>
    <t>Prihodi od prodaje / operativni troškovi</t>
  </si>
  <si>
    <t>Kašnjenje vlaka u polasku</t>
  </si>
  <si>
    <t>Prosječna brzina vlaka</t>
  </si>
  <si>
    <t>Vlak-km po zaposlenom (puni vlak)</t>
  </si>
  <si>
    <t>Posebni cilj</t>
  </si>
  <si>
    <t>STRATEGIJA RAZVOJA</t>
  </si>
  <si>
    <t>NACIONANLI PLAN RAZVOJA</t>
  </si>
  <si>
    <t>AKCIJSKI PLAN NPR-A I INVESTICIJE NPR-A</t>
  </si>
  <si>
    <t>Udio državne potpore u ukupnim prihodima</t>
  </si>
  <si>
    <t>Kumulativ</t>
  </si>
  <si>
    <t>Ukupan kumulativ</t>
  </si>
  <si>
    <t>Godina</t>
  </si>
  <si>
    <t>Naziv projekta (naloga)</t>
  </si>
  <si>
    <t>Ukupna vrijednost projekta (naloga)</t>
  </si>
  <si>
    <t>Ukupna vrijednost investicije</t>
  </si>
  <si>
    <t>OSTALI POSLOVNI RASHODI</t>
  </si>
  <si>
    <t>Neotpisana vrijednost rashodovane imovine</t>
  </si>
  <si>
    <t>Manjkovi</t>
  </si>
  <si>
    <t>Naknade - kašnjenje u prometu</t>
  </si>
  <si>
    <t>Vrijednost kasiranog i otpisanog materijala</t>
  </si>
  <si>
    <t>Troškovi vezani uz naknade šteta</t>
  </si>
  <si>
    <t>Troškovi vezani uz naknade šteta - povezana društva</t>
  </si>
  <si>
    <t>Sudski troškovi i kazne</t>
  </si>
  <si>
    <t>Ostali poslovni rashodi</t>
  </si>
  <si>
    <t>Ostali poslovni rashodi - povezana društva</t>
  </si>
  <si>
    <t>7300000    NEOTPISANA VRIJEDNOST OTUĐENE I RASHODO</t>
  </si>
  <si>
    <t>7300001    NEOTPISANA VRIJEDNOST IMOVINE- ISPRAVAK</t>
  </si>
  <si>
    <t>7330000    MANJAK OSNOVNIH SREDSTAV</t>
  </si>
  <si>
    <t>7331000    MANJAK MATERIJALA,PRIC.DIJELOVA I SITNO</t>
  </si>
  <si>
    <t>7332000    OBRACUNATI PDV NA MANJAK I RASHOD</t>
  </si>
  <si>
    <t>7350000    SANACIJA ŠTETNIH DOGAĐAJA NA VLASTITOJ</t>
  </si>
  <si>
    <t>7350020    SANACIJA ŠT.DOGAĐAJA NA VLAST. IMOVINI</t>
  </si>
  <si>
    <t>7351000    ŠTETE NANESENE DRUGIM PRAVNIM OSOBAMA</t>
  </si>
  <si>
    <t>7351020    ŠTETE NANESENE DRUGIM PRAVNIM OSOBAMA-P</t>
  </si>
  <si>
    <t>7351100    ŠTETE NANESENE FIZICKIM OSOBAMA-RENTE</t>
  </si>
  <si>
    <t>7351300    OSTALI IZDACI U VEZI NAKNADA ŠTETA</t>
  </si>
  <si>
    <t>7352100    SUDSKE I ADMINISTRATIVNE TAKSE</t>
  </si>
  <si>
    <t>7352200    SUDSKI TROŠKOVI</t>
  </si>
  <si>
    <t>7353000    NAKNADE ZBOG KAŠNJENJA U PROMETU-DRUŠTA</t>
  </si>
  <si>
    <t>7353001    NAKNADE ZBOG KAŠNJENJA U PROMETU</t>
  </si>
  <si>
    <t>7370000    NAKNADNO UTVRĐENI RASHODI IZ PROŠLIH GO</t>
  </si>
  <si>
    <t>7371000    NAKNAD.UTVRĐENI RASHODI IZ PROŠLIH GODI</t>
  </si>
  <si>
    <t>7391000    IZGUBLJENE KAPARE,ODŠT.,KAZNE,PENALI I</t>
  </si>
  <si>
    <t>7391200    IZGUBLJENE KAPARE,ODŠT,KAZNE,PENALI,DAN</t>
  </si>
  <si>
    <t>7394000    VRIJEDNOST NENAPLACENIH POTRAŽIVANJA</t>
  </si>
  <si>
    <t>7395000    VRIJEDNOST KASIRANOG I OTPIS.MATER.(NEK</t>
  </si>
  <si>
    <t>7395001    RASHODI OD REVALORIZACIJE VRIJEDNOSTI M</t>
  </si>
  <si>
    <t>7396000    ISPRAVAK NOMINALNE VRIJEDNOSTI DIONICA</t>
  </si>
  <si>
    <t>7397000    ODSTUPANJE OD PROSJEČNE CIJENE(KOD NEPO</t>
  </si>
  <si>
    <t>7399000    OSTALI IZVANREDNI RASHODI</t>
  </si>
  <si>
    <t>7399010    RASHODI OD RAZLIKA NASTALIH PRILIKOM ZA</t>
  </si>
  <si>
    <t>7399100    OSTALI IZVANREDNI RASHODI-POVEZANA</t>
  </si>
  <si>
    <t>ukupno ostali posl. rashodi POV 2021</t>
  </si>
  <si>
    <t>UKUPNO</t>
  </si>
  <si>
    <t>Prihod od pristojbi za pristup željezničkoj infrastrukturi</t>
  </si>
  <si>
    <t xml:space="preserve">Prihod od usluga informatike </t>
  </si>
  <si>
    <t xml:space="preserve">Prihod od formiranja i rasformiranja sastava vlaka </t>
  </si>
  <si>
    <t>Prihodi od korištenja putničkih kolodvora</t>
  </si>
  <si>
    <t>Prihodi od korištenja kolosijeka za garažiranje</t>
  </si>
  <si>
    <t>Prihod od naknada za rezervaciju kapaciteta</t>
  </si>
  <si>
    <t xml:space="preserve">Prihod od prodaje prijevoznih karata </t>
  </si>
  <si>
    <t xml:space="preserve">Prihodi od zakupnine prostora </t>
  </si>
  <si>
    <t xml:space="preserve">Prihodi od zakupa optičke opreme </t>
  </si>
  <si>
    <t xml:space="preserve">Prihodi od sporedne djelatnosti </t>
  </si>
  <si>
    <t>Prihodi od prodaje materijala</t>
  </si>
  <si>
    <t>Prihod od ostalih usluga i radova</t>
  </si>
  <si>
    <t>7531100    PRIHODI OD SPOREDNE DJELATNOSTI -POVEZA</t>
  </si>
  <si>
    <t>7543010    PRIH. OD PRISTOJBI ZA PRISTUP ŽELJ. INF</t>
  </si>
  <si>
    <t>7545000    PRIHODI OD USLUGA INFORMATIKE-DRUŠTVA H</t>
  </si>
  <si>
    <t>7545001    PRIHODI OD USLUGA INFORMATIKE-POVEZ.DRU</t>
  </si>
  <si>
    <t>7546100    PRIHODI OD PRODAJE PRIJEVOZNIH KARATA</t>
  </si>
  <si>
    <t>7546210    PRIHODI OD KORIŠTENJA KOLO. VAGON. VAGA</t>
  </si>
  <si>
    <t>7546310    PRIH.USL.FORM I RASFORM.SASTAVA VLAKA-P</t>
  </si>
  <si>
    <t>7546410    PRIHODI OD KORIŠTENJA KOLOS. ZA GARAŽ.-</t>
  </si>
  <si>
    <t>7546510    PRIHODI OD PRATNJE IZVANREDNIH POŠILJAK</t>
  </si>
  <si>
    <t>7546600    PRIHODI OD KORIŠTENJA PUTNIČKIH KOLODVO</t>
  </si>
  <si>
    <t>7546710    PRIHODI OD NAKN. ZA REZERVACIJU KAPACIT</t>
  </si>
  <si>
    <t>7570200    PRIHODI OD ZAKUPA SKLADIŠTA I ZEMLJIŠTA</t>
  </si>
  <si>
    <t>7571200    PRIHODI OD ZAKUPA POSL.PROSTORA-POVEZAN</t>
  </si>
  <si>
    <t>7576200    PRIHODI OD NAJMA STROJEVA I OPREME-POVE</t>
  </si>
  <si>
    <t>7577200    PRIHODI OD ZAKUPA PROMIDŽBENOG PROST.-P</t>
  </si>
  <si>
    <t>7600100    PRIHOD OD PRODAJE ROBE I MAT. POVEZANIM</t>
  </si>
  <si>
    <t>PRIHODI OD PRODAJE</t>
  </si>
  <si>
    <t>Prihodi od prodaje s poduzećim unutar grupe</t>
  </si>
  <si>
    <t>7570000    PRIHODI OD ZAKUPA SKLADIŠTA I ZEMLJIŠTA</t>
  </si>
  <si>
    <t>7578000    PRIHODI OD ZAKUPA TELEKOMUNIKACIJA (OPT</t>
  </si>
  <si>
    <t>7531000    PRIHODI OD SPOREDNE DJELATNOSTI</t>
  </si>
  <si>
    <t>7572000    PRIHODI OD PRAVA SLUŽNOSTI</t>
  </si>
  <si>
    <t>Prihodi od prodaje s poduzetnicima izvan grupe</t>
  </si>
  <si>
    <t>Prihodi od zakupa - ostalo</t>
  </si>
  <si>
    <t>Prihod od usluga informatike</t>
  </si>
  <si>
    <t>7541000    PRIHODI OD USLUGA MANEVRISTA</t>
  </si>
  <si>
    <t>7543000    PRIH. OD PRISTOJBI ZA PRISTUP ŽELJ. INF</t>
  </si>
  <si>
    <t>7545002    PRIHODI OD USLUGA INFORMATIKE</t>
  </si>
  <si>
    <t>7546200    PRIHODI OD KORIŠTENJA KOLOSJEČNIH VAGON</t>
  </si>
  <si>
    <t>7546300    PRIH.USLUGE FORMIRANJA I RASFORMIRAN.SA</t>
  </si>
  <si>
    <t>7546400    PRIHODI OD KORIŠTENJA KOLOSJEKA ZA GARA</t>
  </si>
  <si>
    <t>7546500    PRIHODI OD PRATNJE IZVANREDNIH POŠILJAK</t>
  </si>
  <si>
    <t>7546700    PRIHODI OD NAKNADA ZA REZERVACIJU KAPAC</t>
  </si>
  <si>
    <t>7571000    PRIHODI OD ZAKUPA POSL.PROSTORA</t>
  </si>
  <si>
    <t>7573000    PRIHODI OD PRAVA GRAĐENJA</t>
  </si>
  <si>
    <t>7576000    PRIHODI OD NAJMA STROJEVA I OPREME</t>
  </si>
  <si>
    <t>7577000    PRIHODI OD ZAKUPA PROMIDŽBENOG PROSTORA</t>
  </si>
  <si>
    <t>7620000    PRIHODI OD PRODAJE ROBE U INOZEMSTVU</t>
  </si>
  <si>
    <t>7640000    PRIHOD OD PRODAJE ROBE I MATERIJALA - V</t>
  </si>
  <si>
    <t>Ostali poslovni prihodi s poduzetnicima izvan grupe</t>
  </si>
  <si>
    <t>Prihod iz Proračuna RH za željezničku infrastrukturu</t>
  </si>
  <si>
    <t>Prihod iz Proračuna RH za želj.infrastrukturu - trošarine</t>
  </si>
  <si>
    <t>Prihod iz Proračuna u visini alikvotnog dijela amortizacije</t>
  </si>
  <si>
    <t>Prihod od upotrebe vlastitih proizvoda</t>
  </si>
  <si>
    <t>Prihod od kasacije</t>
  </si>
  <si>
    <t xml:space="preserve">Prihod od najma službenih stanova </t>
  </si>
  <si>
    <t>Prihod od prodaje stanova (35%)</t>
  </si>
  <si>
    <t xml:space="preserve">Prihod od preračuna troškova </t>
  </si>
  <si>
    <t>Prihod od naknade šteta</t>
  </si>
  <si>
    <t>Prihod od sufinanciranja</t>
  </si>
  <si>
    <t>Prihod od ukidanja rezerviranja</t>
  </si>
  <si>
    <t>Prihod od naplate vrijednosno usklađenih potraživanja</t>
  </si>
  <si>
    <t>Prihod od prodaje imovine</t>
  </si>
  <si>
    <t>Prihod od proračuna - otplata zajma IBRD</t>
  </si>
  <si>
    <t>Prihodi od penala</t>
  </si>
  <si>
    <t>Umanjenje nekuretnih zaliha</t>
  </si>
  <si>
    <t xml:space="preserve">Ostali prihodi </t>
  </si>
  <si>
    <t>7301000 NEOTPISANA VRIJEDNOST PRODANE IMOVINE</t>
  </si>
  <si>
    <t>7520100    PRIHOD OD PROR.ZA ODRŽA.I REGUL.PROMETA</t>
  </si>
  <si>
    <t>7520200    PRIHOD OD TROŠARINA</t>
  </si>
  <si>
    <t>7520201    PRIHODI OD TROŠARINA ZA DIZELSKO GORIVO</t>
  </si>
  <si>
    <t>7521000    PRIHOD OD PRORAČUNA-OTPLATA ZAJMA IBRD</t>
  </si>
  <si>
    <t>7523000    PRIHOD OBRAC.AMORTI.ZA SRED.PO ODGO.PRI</t>
  </si>
  <si>
    <t>7525400    PRIHODI-SUFINANCIRANJE - safe10T</t>
  </si>
  <si>
    <t>7526001    PRIHOD-EL.ENERGIJA VUČE VLAKOVA</t>
  </si>
  <si>
    <t>7580000    PRIHOD-UKIDANJE REZERVIRANJA ZA OTPR.I</t>
  </si>
  <si>
    <t>7580001    PRIHOD-UKIDANJE REZERVIRANJA ZA SUDSKE</t>
  </si>
  <si>
    <t>7580002    PRIHOD OD UKIDANJA REZERVIRANJA ZA NEIS</t>
  </si>
  <si>
    <t>7580003    UKID.REZER.TROŠKOVA-NENAPL.POTR. MSFI 9</t>
  </si>
  <si>
    <t>7800000    PRIHODI OD PRODAJE DUGOTRAJNE IMOVINE</t>
  </si>
  <si>
    <t>7807000    PRIHODI OD PRODAJE STANOVA (35%)</t>
  </si>
  <si>
    <t>7821000    NAKNADE ŠTETA OD FIZICKIH I PRAVNIH OSO</t>
  </si>
  <si>
    <t>7830000    VIŠKOVI OSNOVNIH SREDSTAVA</t>
  </si>
  <si>
    <t>7831000    VIŠKOVI MATERIJALA,REZ.DIJELOVA I SITNO</t>
  </si>
  <si>
    <t>7840000    PRIHOD OD PRERAČUNA TROŠKOVA</t>
  </si>
  <si>
    <t>7850000    PRIHODI OD NAJMA SLUŽBENIH STANOVA</t>
  </si>
  <si>
    <t>7851000    SLOBODNO UGOVORENA I ZAŠTIĆENA STANARIN</t>
  </si>
  <si>
    <t>7860000    NAPLAĆENA OTPISANA POTRAŽIVANJA</t>
  </si>
  <si>
    <t>7860001    OTPIS OBVEZA PREMA DOBAVLJAČIMA</t>
  </si>
  <si>
    <t>7861000    ISPRAVAK UMANJENJA NEKURENTNIH ZALIHA</t>
  </si>
  <si>
    <t>7861001    PRIHODI OD REVALORIZACIJE VRIJEDNOSTI M</t>
  </si>
  <si>
    <t>7870000    PRIHODI OD PROTEKLIH GODINA</t>
  </si>
  <si>
    <t>7872000    PRIHOD OD SUFINANCIRANJA</t>
  </si>
  <si>
    <t>7890000    PRIHODI OD KASA-SKONTA</t>
  </si>
  <si>
    <t>7892000    PRIHOD-ZATVARANJE DUG.OBVEZE PO OPER.NA</t>
  </si>
  <si>
    <t>7893000    NAPLAĆENI PRIHODI PO RJEŠENJIMA</t>
  </si>
  <si>
    <t>7894000    PRIHODI OD PENALA ZA ZAKAŠNJELU ISPORUK</t>
  </si>
  <si>
    <t>7895000    PRIHODI OD KASACIJE OSNOVNIH SREDSTAVA-</t>
  </si>
  <si>
    <t>7895100    PRIHODI OD KASAC.MAT,REZERV.DIJ.I SITN.</t>
  </si>
  <si>
    <t>7895200    MATERIJAL I REZERVNI DIJELOVI KOD DEMON</t>
  </si>
  <si>
    <t>7896000    PRIHODI -ISPRAVAK VRIJEDNOSTI DIONICA</t>
  </si>
  <si>
    <t>7897000    ODSTUPANJE OD PROSJEČNE CIJENE(KOD NEPO</t>
  </si>
  <si>
    <t>7899000    OSTALI IZVANREDNI PRIHODI</t>
  </si>
  <si>
    <t>7899010    PRIHODI OD RAZLIKA NASTALIH PRILIKOM ZA</t>
  </si>
  <si>
    <t>7530000    PRIHODI OD POMOCNE DJELATNOSTI</t>
  </si>
  <si>
    <t>7532000    PRIHODI OD NEINDUSTIJSKE DJELATNOSTI</t>
  </si>
  <si>
    <t>Prihod od pomoćne djelatnosti</t>
  </si>
  <si>
    <t>Prihod od telekomunikacijskih usluga</t>
  </si>
  <si>
    <t>Prihod od cassa-sconto</t>
  </si>
  <si>
    <t>7526000    PRIHOD-EL.ENERGIJA VUČE VLAKOVA POV.DRU</t>
  </si>
  <si>
    <t>7826200    PRIHODI OD NAKNADA ŠTETA OD POVEZANIH D</t>
  </si>
  <si>
    <t>7842000    PRIHOD INFRASTR.ZA TELEKOM.USLUGE-POVEZ</t>
  </si>
  <si>
    <t>7871000    PRIHODI OD PROTEKLIH GODINA-POVEZANA</t>
  </si>
  <si>
    <t>7883000    PRIHODI OD NAKN.ZBOG KAŠNJ.U PROMETU HO</t>
  </si>
  <si>
    <t>7890100    PRIHODI OD KASA-SKONTA-POVEZANA</t>
  </si>
  <si>
    <t>7894200    PRIHODI OD PENALA ZA ZAKAŠNJ.ISPOR.ROBE</t>
  </si>
  <si>
    <t>7899002    OSTALI IZVANREDNI PRIHODI POVEZANA DRUŠ</t>
  </si>
  <si>
    <t>Iz odnosa s povezanim poduzetnicima</t>
  </si>
  <si>
    <t>1. Materijalni troškovi</t>
  </si>
  <si>
    <t>2. Ostali troškovi</t>
  </si>
  <si>
    <t>3. Rezerviranja</t>
  </si>
  <si>
    <t>6. Ostali troškovi</t>
  </si>
  <si>
    <t>7. Financijski rashodi</t>
  </si>
  <si>
    <t>1. Prihodi od prodaje s poduzećima unutar grupe</t>
  </si>
  <si>
    <t>2. Prihodi od prodaje (izvan grupe)</t>
  </si>
  <si>
    <t>3. Ostali poslovni prihodi (izvan grupe)</t>
  </si>
  <si>
    <t>4. Prihodi na temelju upotrebe vlastitih proizvoda, robe i usluga</t>
  </si>
  <si>
    <t>5. Ostali poslovni prihodi s poduzetnicima  unutar grupe</t>
  </si>
  <si>
    <t>6. Financijski prihodi</t>
  </si>
  <si>
    <t>Prihodi od ostalih dugotrajnih financijskih ulaganja</t>
  </si>
  <si>
    <t>Ostali prihodi s osnove kamata iz odnosa unutar grupe</t>
  </si>
  <si>
    <t>Teč. razlike i ostali financijski prihodi</t>
  </si>
  <si>
    <t>Broj radnika</t>
  </si>
  <si>
    <t>31.12.2021.</t>
  </si>
  <si>
    <t>Prihod od davanja strojeva i opreme u najam povezanim društvima</t>
  </si>
  <si>
    <t>Realizacija investicija u usporedbi s planom</t>
  </si>
  <si>
    <t>Realizacija održavanja u usporedbi s planom</t>
  </si>
  <si>
    <t>Poslovni prihod bez državne potpore</t>
  </si>
  <si>
    <t>Poslovni prihod sa državnom potporom</t>
  </si>
  <si>
    <t>Operativni troškovi</t>
  </si>
  <si>
    <t xml:space="preserve">EBITDA </t>
  </si>
  <si>
    <t>Prihod od prodaje izvan HŽ-a</t>
  </si>
  <si>
    <t>Prihod od prodaje unutar HŽ-a</t>
  </si>
  <si>
    <t>Državna potpora</t>
  </si>
  <si>
    <t>Ostali prihodi</t>
  </si>
  <si>
    <t>Prihodi od prodaje svi / operativni troškovi</t>
  </si>
  <si>
    <t>Investicije</t>
  </si>
  <si>
    <t>Održavanje</t>
  </si>
  <si>
    <t>Primjereni prinos</t>
  </si>
  <si>
    <t>Distribicija primjerenog prinosa</t>
  </si>
  <si>
    <t>KPI zadovoljen</t>
  </si>
  <si>
    <t>Izračun primjerenog prinosa</t>
  </si>
  <si>
    <t>Pravo na javna sredstva</t>
  </si>
  <si>
    <t>Doznačeni prihodi</t>
  </si>
  <si>
    <t>Razlika</t>
  </si>
  <si>
    <t>Prihodi povezani s neprihvatljivim troškovima</t>
  </si>
  <si>
    <t>Prihvatljivi troškovi</t>
  </si>
  <si>
    <t>Neprihvatljivi troškovi</t>
  </si>
  <si>
    <t xml:space="preserve">Kontrola </t>
  </si>
  <si>
    <t>Razlika za uplatu (povrat)</t>
  </si>
  <si>
    <t>Izračun prava na javna sredstva</t>
  </si>
  <si>
    <t>Plan</t>
  </si>
  <si>
    <t>Odstupanje</t>
  </si>
  <si>
    <t>KPI koji se prate</t>
  </si>
  <si>
    <t>Stanje željezničke infrastrukture</t>
  </si>
  <si>
    <t>Mreže velike brzine</t>
  </si>
  <si>
    <t>Udio modalnog prijevoza putnika</t>
  </si>
  <si>
    <t>Udio modalnog prijevoza tereta</t>
  </si>
  <si>
    <t>Elektrifikacija glavnih pruga</t>
  </si>
  <si>
    <t>Sigurnost i okoliš</t>
  </si>
  <si>
    <t>Broj nesreća sa težim posljedicama</t>
  </si>
  <si>
    <t>Broj nesreća sa smrtnim posljedicama</t>
  </si>
  <si>
    <t>Udio dizel vlakova na prugama</t>
  </si>
  <si>
    <t>Udio elektro vlakova na prugama</t>
  </si>
  <si>
    <t>Udio obnovljive vučne energije u ukupno utrošenoj energiji</t>
  </si>
  <si>
    <t>Broj otkazanih vlakova</t>
  </si>
  <si>
    <t>Razlozi kvarova:</t>
  </si>
  <si>
    <t>kvarovi na prugama</t>
  </si>
  <si>
    <t>kvarovi na signalizaciji</t>
  </si>
  <si>
    <t>kvarovi na telekomunikaciji</t>
  </si>
  <si>
    <t>kvarovi s napajanjem (opskrbom električne energije)</t>
  </si>
  <si>
    <t xml:space="preserve">kvarovi na građevinama </t>
  </si>
  <si>
    <t>kvarovi na ostaloj infrastrukturnoj imovini</t>
  </si>
  <si>
    <t>kvarovi na ostaloj imovini</t>
  </si>
  <si>
    <t>Razvoj</t>
  </si>
  <si>
    <t>Broj teretnih vlakova dnevno</t>
  </si>
  <si>
    <t>Broj putničkih vlakova dnevno</t>
  </si>
  <si>
    <t>Broj brzih vlakova dnevno</t>
  </si>
  <si>
    <t>Pristupačnost</t>
  </si>
  <si>
    <t>Raspoloživost kapaciteta</t>
  </si>
  <si>
    <t>Stanje mreže</t>
  </si>
  <si>
    <t>Kvalitete izvedbe i isporuka</t>
  </si>
  <si>
    <t xml:space="preserve">   - DP</t>
  </si>
  <si>
    <t xml:space="preserve">   - ostalo</t>
  </si>
  <si>
    <t>31.12.2022.</t>
  </si>
  <si>
    <t>Revalorizacijske rezerve</t>
  </si>
  <si>
    <t>Odgođena porezna obveza</t>
  </si>
  <si>
    <t>Prihodi od prava služnosti</t>
  </si>
  <si>
    <t>I-XII 2022.</t>
  </si>
  <si>
    <t>7724001    POZITIVNE TEČAJNE RAZLIKE PO FAKT.-KONV</t>
  </si>
  <si>
    <t>7576300    PRIHODI OD ZAKUPA CRPNIH POSTROJENJA</t>
  </si>
  <si>
    <t>Prihodi od zakupa crpnih postrojenja</t>
  </si>
  <si>
    <t>4109300    USLUGE PRIJEVOZA PUTNIKA AUTOBUSIMA/KOM</t>
  </si>
  <si>
    <t>4140200    ZAKUP POSL. PROSTORA OD OSTALIH POVEZAN</t>
  </si>
  <si>
    <t>Ukupno materijalni troškovi POV 2022.</t>
  </si>
  <si>
    <t>4430000    TERENSKI DODATAK</t>
  </si>
  <si>
    <t>4480002    DODATAK ZA TOPLI OBROK – NEOPOREZIV</t>
  </si>
  <si>
    <t>4597002    TROŠKOVI RADNIKA PREMA ODREDBAMA KU čl.</t>
  </si>
  <si>
    <t>Ukupno ostali troškovi POV 2022.</t>
  </si>
  <si>
    <t>7393000    VRIJEDNOST ZASTARIJELIH ZALIHA (OPOREZI</t>
  </si>
  <si>
    <t>Ukupno ostali posl. rashodi POV 2022</t>
  </si>
  <si>
    <t>7224001    NEGATIVNE TEČAJNE RAZLIKE PO FAKT.-KONV</t>
  </si>
  <si>
    <t>Vrijednosno usklađenje kratkotrajnih potraživanja  - MSFI 9</t>
  </si>
  <si>
    <t xml:space="preserve">Vrijednosno usklađenje potraživanja od države </t>
  </si>
  <si>
    <t>Vrijednost zastarjelih zaliha</t>
  </si>
  <si>
    <t>Izuzeti prihodi:</t>
  </si>
  <si>
    <t>ukupno</t>
  </si>
  <si>
    <t>Organizacija i upravljanje prometom i upravljanje željezničkom infrastrukturom</t>
  </si>
  <si>
    <t>Zajedničke službe za raspodjelu</t>
  </si>
  <si>
    <t>Vlastita aktivnost i ostalo (ostvarena razumna dobit)</t>
  </si>
  <si>
    <t>Ključ raspodjele zajedničkih službi, osim uprave i prodaje</t>
  </si>
  <si>
    <t>Raspodjela neto troškova zajedničkih službi</t>
  </si>
  <si>
    <t>Pojašnjenje primjene odabranog ključa:</t>
  </si>
  <si>
    <t xml:space="preserve">     broj djelatnika</t>
  </si>
  <si>
    <t xml:space="preserve">    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</si>
</sst>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_);[Red]\(&quot;$&quot;#,##0.00\)"/>
    <numFmt numFmtId="165" formatCode="0.000%"/>
    <numFmt numFmtId="166" formatCode="#,##0.0"/>
  </numFmts>
  <fonts count="102">
    <font>
      <sz val="11"/>
      <color theme="1"/>
      <name val="Calibri"/>
      <family val="2"/>
      <charset val="238"/>
      <scheme val="minor"/>
    </font>
    <font>
      <sz val="9"/>
      <name val="Calibri  "/>
      <charset val="238"/>
    </font>
    <font>
      <i/>
      <sz val="9"/>
      <name val="Calibri  "/>
      <charset val="238"/>
    </font>
    <font>
      <b/>
      <sz val="9"/>
      <name val="Calibri  "/>
      <charset val="238"/>
    </font>
    <font>
      <i/>
      <sz val="9"/>
      <color rgb="FFFF0000"/>
      <name val="Calibri  "/>
      <charset val="238"/>
    </font>
    <font>
      <sz val="9"/>
      <color theme="1"/>
      <name val="Calibri  "/>
      <charset val="238"/>
    </font>
    <font>
      <b/>
      <sz val="9"/>
      <color theme="1"/>
      <name val="Calibri  "/>
      <charset val="238"/>
    </font>
    <font>
      <i/>
      <sz val="9"/>
      <color theme="1"/>
      <name val="Calibri  "/>
      <charset val="238"/>
    </font>
    <font>
      <b/>
      <i/>
      <u/>
      <sz val="9"/>
      <color theme="1"/>
      <name val="Calibri  "/>
      <charset val="238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u/>
      <sz val="7"/>
      <color theme="10"/>
      <name val="Calibri"/>
      <family val="2"/>
      <charset val="238"/>
      <scheme val="minor"/>
    </font>
    <font>
      <sz val="7"/>
      <color rgb="FFFF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7"/>
      <color rgb="FF000000"/>
      <name val="Arial"/>
      <family val="2"/>
    </font>
    <font>
      <i/>
      <sz val="7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.5"/>
      <color theme="1"/>
      <name val="Arial"/>
      <family val="2"/>
      <charset val="238"/>
    </font>
    <font>
      <sz val="10"/>
      <name val="Arial"/>
      <family val="2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"/>
      <color theme="1"/>
      <name val="Roboto"/>
    </font>
    <font>
      <sz val="9"/>
      <color theme="1"/>
      <name val="Roboto"/>
    </font>
    <font>
      <i/>
      <sz val="9"/>
      <color rgb="FFFF0000"/>
      <name val="Roboto"/>
    </font>
    <font>
      <sz val="9"/>
      <color rgb="FF000000"/>
      <name val="Roboto"/>
    </font>
    <font>
      <b/>
      <i/>
      <sz val="9"/>
      <color theme="1"/>
      <name val="Roboto"/>
    </font>
    <font>
      <b/>
      <u/>
      <sz val="9"/>
      <color theme="1"/>
      <name val="Roboto"/>
    </font>
    <font>
      <i/>
      <sz val="9"/>
      <color theme="1"/>
      <name val="Roboto"/>
    </font>
    <font>
      <sz val="9"/>
      <name val="Roboto"/>
    </font>
    <font>
      <b/>
      <sz val="9"/>
      <name val="Roboto"/>
    </font>
    <font>
      <b/>
      <sz val="9"/>
      <color rgb="FFFF0000"/>
      <name val="Roboto"/>
    </font>
    <font>
      <sz val="9"/>
      <color rgb="FFFF0000"/>
      <name val="Roboto"/>
    </font>
    <font>
      <b/>
      <sz val="9"/>
      <color theme="0"/>
      <name val="Roboto"/>
    </font>
    <font>
      <sz val="9"/>
      <color theme="0"/>
      <name val="Roboto"/>
    </font>
    <font>
      <sz val="9"/>
      <color theme="0"/>
      <name val="Calibri  "/>
      <charset val="238"/>
    </font>
    <font>
      <b/>
      <sz val="9"/>
      <color theme="0"/>
      <name val="Calibri  "/>
      <charset val="238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u/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7"/>
      <name val="Arial"/>
      <family val="2"/>
    </font>
    <font>
      <sz val="7"/>
      <name val="Arial"/>
      <family val="2"/>
    </font>
    <font>
      <u/>
      <sz val="7"/>
      <name val="Calibri"/>
      <family val="2"/>
      <charset val="238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  <font>
      <sz val="8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name val="Arial"/>
      <family val="2"/>
    </font>
    <font>
      <i/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0" tint="-0.499984740745262"/>
      <name val="Calibri  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4" tint="-0.24997711111789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30639B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62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70">
    <border>
      <left/>
      <right/>
      <top/>
      <bottom/>
      <diagonal/>
    </border>
    <border>
      <left style="medium">
        <color rgb="FFBDD6EE"/>
      </left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 style="medium">
        <color rgb="FFBDD6EE"/>
      </left>
      <right style="medium">
        <color rgb="FFBDD6EE"/>
      </right>
      <top style="medium">
        <color rgb="FFBDD6EE"/>
      </top>
      <bottom/>
      <diagonal/>
    </border>
    <border>
      <left style="medium">
        <color rgb="FFBDD6EE"/>
      </left>
      <right style="medium">
        <color rgb="FFBDD6EE"/>
      </right>
      <top/>
      <bottom style="thick">
        <color rgb="FF9CC2E5"/>
      </bottom>
      <diagonal/>
    </border>
    <border>
      <left/>
      <right style="medium">
        <color rgb="FFBDD6EE"/>
      </right>
      <top style="medium">
        <color rgb="FFBDD6EE"/>
      </top>
      <bottom style="thick">
        <color rgb="FF9CC2E5"/>
      </bottom>
      <diagonal/>
    </border>
    <border>
      <left/>
      <right style="medium">
        <color rgb="FFBDD6EE"/>
      </right>
      <top style="medium">
        <color rgb="FFBDD6EE"/>
      </top>
      <bottom/>
      <diagonal/>
    </border>
    <border>
      <left/>
      <right style="medium">
        <color rgb="FFBDD6EE"/>
      </right>
      <top/>
      <bottom style="thick">
        <color rgb="FF9CC2E5"/>
      </bottom>
      <diagonal/>
    </border>
    <border>
      <left style="medium">
        <color rgb="FFBDD6EE"/>
      </left>
      <right style="medium">
        <color rgb="FFBDD6EE"/>
      </right>
      <top/>
      <bottom style="medium">
        <color rgb="FFBDD6EE"/>
      </bottom>
      <diagonal/>
    </border>
    <border>
      <left style="medium">
        <color rgb="FFBDD6EE"/>
      </left>
      <right style="medium">
        <color rgb="FFBDD6EE"/>
      </right>
      <top/>
      <bottom/>
      <diagonal/>
    </border>
    <border>
      <left/>
      <right style="medium">
        <color rgb="FFBDD6EE"/>
      </right>
      <top/>
      <bottom style="medium">
        <color rgb="FFBDD6EE"/>
      </bottom>
      <diagonal/>
    </border>
    <border>
      <left/>
      <right style="medium">
        <color rgb="FFBDD6EE"/>
      </right>
      <top/>
      <bottom/>
      <diagonal/>
    </border>
    <border>
      <left style="medium">
        <color rgb="FFBDD6EE"/>
      </left>
      <right style="medium">
        <color rgb="FFBDD6EE"/>
      </right>
      <top style="thick">
        <color rgb="FF9CC2E5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28" fillId="0" borderId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</cellStyleXfs>
  <cellXfs count="1235">
    <xf numFmtId="0" fontId="0" fillId="0" borderId="0" xfId="0"/>
    <xf numFmtId="0" fontId="14" fillId="0" borderId="0" xfId="1" applyAlignment="1">
      <alignment horizontal="justify" vertical="center"/>
    </xf>
    <xf numFmtId="0" fontId="15" fillId="0" borderId="0" xfId="0" applyFont="1"/>
    <xf numFmtId="0" fontId="16" fillId="0" borderId="0" xfId="1" applyFont="1" applyAlignment="1">
      <alignment horizontal="justify" vertical="center"/>
    </xf>
    <xf numFmtId="0" fontId="18" fillId="0" borderId="1" xfId="0" applyFont="1" applyBorder="1" applyAlignment="1">
      <alignment horizontal="justify" vertical="center"/>
    </xf>
    <xf numFmtId="0" fontId="18" fillId="0" borderId="4" xfId="0" applyFont="1" applyBorder="1" applyAlignment="1">
      <alignment horizontal="justify" vertical="center"/>
    </xf>
    <xf numFmtId="0" fontId="18" fillId="0" borderId="4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/>
    </xf>
    <xf numFmtId="0" fontId="13" fillId="0" borderId="9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justify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0" fillId="0" borderId="9" xfId="0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3" fontId="12" fillId="0" borderId="9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wrapText="1"/>
    </xf>
    <xf numFmtId="4" fontId="7" fillId="0" borderId="0" xfId="0" applyNumberFormat="1" applyFont="1"/>
    <xf numFmtId="0" fontId="7" fillId="0" borderId="0" xfId="0" applyFont="1"/>
    <xf numFmtId="0" fontId="2" fillId="0" borderId="0" xfId="0" applyFont="1"/>
    <xf numFmtId="4" fontId="5" fillId="0" borderId="0" xfId="0" applyNumberFormat="1" applyFont="1"/>
    <xf numFmtId="4" fontId="8" fillId="0" borderId="0" xfId="0" applyNumberFormat="1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4" fontId="1" fillId="0" borderId="0" xfId="0" quotePrefix="1" applyNumberFormat="1" applyFont="1" applyAlignment="1">
      <alignment horizontal="right"/>
    </xf>
    <xf numFmtId="3" fontId="4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4" fontId="3" fillId="0" borderId="0" xfId="0" applyNumberFormat="1" applyFont="1"/>
    <xf numFmtId="1" fontId="2" fillId="0" borderId="0" xfId="0" applyNumberFormat="1" applyFont="1"/>
    <xf numFmtId="4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justify"/>
    </xf>
    <xf numFmtId="4" fontId="7" fillId="0" borderId="0" xfId="0" applyNumberFormat="1" applyFont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0" fontId="0" fillId="5" borderId="0" xfId="0" applyFill="1"/>
    <xf numFmtId="4" fontId="0" fillId="5" borderId="0" xfId="0" applyNumberFormat="1" applyFill="1"/>
    <xf numFmtId="4" fontId="0" fillId="0" borderId="0" xfId="0" applyNumberFormat="1"/>
    <xf numFmtId="0" fontId="0" fillId="6" borderId="0" xfId="0" applyFill="1"/>
    <xf numFmtId="4" fontId="0" fillId="6" borderId="0" xfId="0" applyNumberFormat="1" applyFill="1"/>
    <xf numFmtId="0" fontId="0" fillId="7" borderId="0" xfId="0" applyFill="1"/>
    <xf numFmtId="4" fontId="0" fillId="7" borderId="0" xfId="0" applyNumberFormat="1" applyFill="1"/>
    <xf numFmtId="0" fontId="0" fillId="3" borderId="0" xfId="0" applyFill="1"/>
    <xf numFmtId="4" fontId="0" fillId="3" borderId="0" xfId="0" applyNumberFormat="1" applyFill="1"/>
    <xf numFmtId="4" fontId="29" fillId="0" borderId="0" xfId="0" applyNumberFormat="1" applyFont="1"/>
    <xf numFmtId="0" fontId="0" fillId="8" borderId="0" xfId="0" applyFill="1"/>
    <xf numFmtId="4" fontId="0" fillId="8" borderId="0" xfId="0" applyNumberFormat="1" applyFill="1"/>
    <xf numFmtId="0" fontId="0" fillId="9" borderId="0" xfId="0" applyFill="1"/>
    <xf numFmtId="4" fontId="0" fillId="9" borderId="0" xfId="0" applyNumberFormat="1" applyFill="1"/>
    <xf numFmtId="0" fontId="0" fillId="10" borderId="0" xfId="0" applyFill="1"/>
    <xf numFmtId="4" fontId="0" fillId="10" borderId="0" xfId="0" applyNumberFormat="1" applyFill="1"/>
    <xf numFmtId="0" fontId="0" fillId="11" borderId="0" xfId="0" applyFill="1"/>
    <xf numFmtId="4" fontId="0" fillId="11" borderId="0" xfId="0" applyNumberFormat="1" applyFill="1"/>
    <xf numFmtId="0" fontId="0" fillId="12" borderId="0" xfId="0" applyFill="1"/>
    <xf numFmtId="4" fontId="0" fillId="12" borderId="0" xfId="0" applyNumberFormat="1" applyFill="1"/>
    <xf numFmtId="4" fontId="25" fillId="0" borderId="0" xfId="0" applyNumberFormat="1" applyFont="1"/>
    <xf numFmtId="0" fontId="0" fillId="3" borderId="20" xfId="0" applyFill="1" applyBorder="1"/>
    <xf numFmtId="0" fontId="0" fillId="0" borderId="22" xfId="0" applyBorder="1"/>
    <xf numFmtId="0" fontId="0" fillId="3" borderId="22" xfId="0" applyFill="1" applyBorder="1"/>
    <xf numFmtId="0" fontId="0" fillId="8" borderId="22" xfId="0" applyFill="1" applyBorder="1"/>
    <xf numFmtId="0" fontId="0" fillId="0" borderId="18" xfId="0" applyBorder="1"/>
    <xf numFmtId="0" fontId="0" fillId="0" borderId="23" xfId="0" applyBorder="1"/>
    <xf numFmtId="4" fontId="25" fillId="3" borderId="12" xfId="0" applyNumberFormat="1" applyFont="1" applyFill="1" applyBorder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7" fillId="0" borderId="0" xfId="2" applyFont="1" applyAlignment="1" applyProtection="1">
      <alignment vertical="center" wrapText="1"/>
      <protection locked="0"/>
    </xf>
    <xf numFmtId="4" fontId="38" fillId="0" borderId="0" xfId="0" applyNumberFormat="1" applyFont="1"/>
    <xf numFmtId="4" fontId="37" fillId="0" borderId="19" xfId="0" applyNumberFormat="1" applyFont="1" applyBorder="1" applyAlignment="1">
      <alignment horizontal="left" vertical="center"/>
    </xf>
    <xf numFmtId="4" fontId="37" fillId="0" borderId="19" xfId="0" applyNumberFormat="1" applyFont="1" applyBorder="1" applyAlignment="1">
      <alignment horizontal="right" vertical="center"/>
    </xf>
    <xf numFmtId="0" fontId="38" fillId="0" borderId="0" xfId="2" applyFont="1" applyAlignment="1" applyProtection="1">
      <alignment vertical="center" wrapText="1"/>
      <protection locked="0"/>
    </xf>
    <xf numFmtId="4" fontId="38" fillId="0" borderId="0" xfId="2" applyNumberFormat="1" applyFont="1" applyAlignment="1" applyProtection="1">
      <alignment horizontal="right"/>
      <protection locked="0"/>
    </xf>
    <xf numFmtId="4" fontId="37" fillId="0" borderId="0" xfId="2" applyNumberFormat="1" applyFont="1" applyProtection="1">
      <protection locked="0"/>
    </xf>
    <xf numFmtId="0" fontId="38" fillId="0" borderId="0" xfId="2" applyFont="1" applyAlignment="1" applyProtection="1">
      <alignment vertical="center" shrinkToFit="1"/>
      <protection locked="0"/>
    </xf>
    <xf numFmtId="4" fontId="40" fillId="0" borderId="0" xfId="0" applyNumberFormat="1" applyFont="1" applyAlignment="1">
      <alignment horizontal="right"/>
    </xf>
    <xf numFmtId="4" fontId="37" fillId="0" borderId="0" xfId="2" applyNumberFormat="1" applyFont="1"/>
    <xf numFmtId="4" fontId="38" fillId="0" borderId="18" xfId="2" applyNumberFormat="1" applyFont="1" applyBorder="1" applyAlignment="1" applyProtection="1">
      <alignment horizontal="right"/>
      <protection locked="0"/>
    </xf>
    <xf numFmtId="4" fontId="37" fillId="0" borderId="18" xfId="2" applyNumberFormat="1" applyFont="1" applyBorder="1" applyProtection="1">
      <protection locked="0"/>
    </xf>
    <xf numFmtId="4" fontId="41" fillId="0" borderId="17" xfId="2" applyNumberFormat="1" applyFont="1" applyBorder="1" applyProtection="1">
      <protection locked="0"/>
    </xf>
    <xf numFmtId="4" fontId="37" fillId="0" borderId="18" xfId="2" applyNumberFormat="1" applyFont="1" applyBorder="1" applyAlignment="1" applyProtection="1">
      <alignment horizontal="right"/>
      <protection locked="0"/>
    </xf>
    <xf numFmtId="4" fontId="38" fillId="0" borderId="14" xfId="2" applyNumberFormat="1" applyFont="1" applyBorder="1" applyAlignment="1" applyProtection="1">
      <alignment horizontal="right"/>
      <protection locked="0"/>
    </xf>
    <xf numFmtId="4" fontId="37" fillId="0" borderId="14" xfId="2" applyNumberFormat="1" applyFont="1" applyBorder="1" applyProtection="1">
      <protection locked="0"/>
    </xf>
    <xf numFmtId="164" fontId="37" fillId="0" borderId="0" xfId="2" applyNumberFormat="1" applyFont="1" applyAlignment="1" applyProtection="1">
      <alignment vertical="center" wrapText="1"/>
      <protection locked="0"/>
    </xf>
    <xf numFmtId="4" fontId="42" fillId="0" borderId="0" xfId="2" applyNumberFormat="1" applyFont="1" applyAlignment="1" applyProtection="1">
      <alignment vertical="center" wrapText="1"/>
      <protection locked="0"/>
    </xf>
    <xf numFmtId="4" fontId="38" fillId="0" borderId="0" xfId="2" applyNumberFormat="1" applyFont="1" applyProtection="1">
      <protection locked="0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4" fontId="43" fillId="0" borderId="0" xfId="0" applyNumberFormat="1" applyFont="1"/>
    <xf numFmtId="4" fontId="39" fillId="0" borderId="0" xfId="0" applyNumberFormat="1" applyFont="1"/>
    <xf numFmtId="4" fontId="37" fillId="0" borderId="19" xfId="0" applyNumberFormat="1" applyFont="1" applyBorder="1"/>
    <xf numFmtId="0" fontId="44" fillId="0" borderId="0" xfId="2" applyFont="1" applyAlignment="1" applyProtection="1">
      <alignment vertical="center" wrapText="1"/>
      <protection locked="0"/>
    </xf>
    <xf numFmtId="4" fontId="44" fillId="0" borderId="0" xfId="2" applyNumberFormat="1" applyFont="1" applyProtection="1">
      <protection locked="0"/>
    </xf>
    <xf numFmtId="4" fontId="45" fillId="0" borderId="0" xfId="2" applyNumberFormat="1" applyFont="1" applyProtection="1">
      <protection locked="0"/>
    </xf>
    <xf numFmtId="0" fontId="44" fillId="0" borderId="0" xfId="2" applyFont="1" applyAlignment="1" applyProtection="1">
      <alignment vertical="center" shrinkToFit="1"/>
      <protection locked="0"/>
    </xf>
    <xf numFmtId="164" fontId="45" fillId="0" borderId="0" xfId="2" applyNumberFormat="1" applyFont="1" applyAlignment="1" applyProtection="1">
      <alignment vertical="center"/>
      <protection locked="0"/>
    </xf>
    <xf numFmtId="0" fontId="45" fillId="0" borderId="0" xfId="2" applyFont="1" applyAlignment="1" applyProtection="1">
      <alignment vertical="center" wrapText="1"/>
      <protection locked="0"/>
    </xf>
    <xf numFmtId="4" fontId="46" fillId="0" borderId="0" xfId="2" applyNumberFormat="1" applyFont="1" applyProtection="1">
      <protection locked="0"/>
    </xf>
    <xf numFmtId="4" fontId="45" fillId="0" borderId="0" xfId="2" applyNumberFormat="1" applyFont="1"/>
    <xf numFmtId="0" fontId="47" fillId="0" borderId="0" xfId="2" applyFont="1" applyAlignment="1" applyProtection="1">
      <alignment vertical="center" shrinkToFit="1"/>
      <protection locked="0"/>
    </xf>
    <xf numFmtId="4" fontId="47" fillId="0" borderId="0" xfId="2" applyNumberFormat="1" applyFont="1" applyProtection="1">
      <protection locked="0"/>
    </xf>
    <xf numFmtId="164" fontId="45" fillId="0" borderId="0" xfId="2" applyNumberFormat="1" applyFont="1" applyAlignment="1" applyProtection="1">
      <alignment vertical="center" wrapText="1"/>
      <protection locked="0"/>
    </xf>
    <xf numFmtId="4" fontId="44" fillId="0" borderId="0" xfId="2" applyNumberFormat="1" applyFont="1"/>
    <xf numFmtId="3" fontId="48" fillId="26" borderId="17" xfId="2" applyNumberFormat="1" applyFont="1" applyFill="1" applyBorder="1" applyAlignment="1" applyProtection="1">
      <alignment horizontal="center" vertical="center" wrapText="1"/>
      <protection locked="0"/>
    </xf>
    <xf numFmtId="3" fontId="48" fillId="26" borderId="18" xfId="2" applyNumberFormat="1" applyFont="1" applyFill="1" applyBorder="1" applyAlignment="1" applyProtection="1">
      <alignment horizontal="center" vertical="center" wrapText="1"/>
      <protection locked="0"/>
    </xf>
    <xf numFmtId="4" fontId="37" fillId="0" borderId="17" xfId="2" applyNumberFormat="1" applyFont="1" applyBorder="1" applyProtection="1">
      <protection locked="0"/>
    </xf>
    <xf numFmtId="4" fontId="37" fillId="0" borderId="17" xfId="2" applyNumberFormat="1" applyFont="1" applyBorder="1"/>
    <xf numFmtId="4" fontId="37" fillId="0" borderId="18" xfId="2" applyNumberFormat="1" applyFont="1" applyBorder="1"/>
    <xf numFmtId="0" fontId="26" fillId="27" borderId="22" xfId="0" applyFont="1" applyFill="1" applyBorder="1"/>
    <xf numFmtId="0" fontId="26" fillId="27" borderId="0" xfId="0" applyFont="1" applyFill="1"/>
    <xf numFmtId="0" fontId="26" fillId="27" borderId="23" xfId="0" applyFont="1" applyFill="1" applyBorder="1"/>
    <xf numFmtId="4" fontId="26" fillId="27" borderId="22" xfId="0" applyNumberFormat="1" applyFont="1" applyFill="1" applyBorder="1"/>
    <xf numFmtId="4" fontId="26" fillId="27" borderId="0" xfId="0" applyNumberFormat="1" applyFont="1" applyFill="1"/>
    <xf numFmtId="4" fontId="48" fillId="26" borderId="25" xfId="0" applyNumberFormat="1" applyFont="1" applyFill="1" applyBorder="1" applyAlignment="1">
      <alignment vertical="center"/>
    </xf>
    <xf numFmtId="4" fontId="48" fillId="26" borderId="26" xfId="0" applyNumberFormat="1" applyFont="1" applyFill="1" applyBorder="1" applyAlignment="1">
      <alignment horizontal="left" vertical="center"/>
    </xf>
    <xf numFmtId="4" fontId="48" fillId="26" borderId="27" xfId="0" applyNumberFormat="1" applyFont="1" applyFill="1" applyBorder="1" applyAlignment="1">
      <alignment horizontal="right" vertical="center"/>
    </xf>
    <xf numFmtId="4" fontId="48" fillId="26" borderId="25" xfId="0" applyNumberFormat="1" applyFont="1" applyFill="1" applyBorder="1" applyAlignment="1">
      <alignment horizontal="right" vertical="center"/>
    </xf>
    <xf numFmtId="4" fontId="48" fillId="26" borderId="26" xfId="0" applyNumberFormat="1" applyFont="1" applyFill="1" applyBorder="1" applyAlignment="1">
      <alignment horizontal="right" vertical="center"/>
    </xf>
    <xf numFmtId="4" fontId="48" fillId="26" borderId="25" xfId="0" quotePrefix="1" applyNumberFormat="1" applyFont="1" applyFill="1" applyBorder="1" applyAlignment="1">
      <alignment horizontal="right" vertical="center"/>
    </xf>
    <xf numFmtId="4" fontId="48" fillId="26" borderId="26" xfId="0" applyNumberFormat="1" applyFont="1" applyFill="1" applyBorder="1" applyAlignment="1">
      <alignment vertical="center"/>
    </xf>
    <xf numFmtId="4" fontId="48" fillId="26" borderId="14" xfId="0" applyNumberFormat="1" applyFont="1" applyFill="1" applyBorder="1" applyAlignment="1">
      <alignment vertical="center"/>
    </xf>
    <xf numFmtId="4" fontId="48" fillId="26" borderId="14" xfId="0" applyNumberFormat="1" applyFont="1" applyFill="1" applyBorder="1" applyAlignment="1">
      <alignment horizontal="right" vertical="center"/>
    </xf>
    <xf numFmtId="0" fontId="50" fillId="26" borderId="0" xfId="0" applyFont="1" applyFill="1" applyAlignment="1">
      <alignment vertical="center" wrapText="1"/>
    </xf>
    <xf numFmtId="0" fontId="51" fillId="26" borderId="0" xfId="0" applyFont="1" applyFill="1" applyAlignment="1">
      <alignment horizontal="center" vertical="center" wrapText="1"/>
    </xf>
    <xf numFmtId="0" fontId="50" fillId="26" borderId="0" xfId="0" applyFont="1" applyFill="1"/>
    <xf numFmtId="4" fontId="3" fillId="0" borderId="0" xfId="0" applyNumberFormat="1" applyFont="1" applyAlignment="1">
      <alignment horizontal="left"/>
    </xf>
    <xf numFmtId="0" fontId="51" fillId="27" borderId="0" xfId="0" applyFont="1" applyFill="1" applyAlignment="1">
      <alignment vertical="center" wrapText="1"/>
    </xf>
    <xf numFmtId="4" fontId="51" fillId="27" borderId="0" xfId="0" applyNumberFormat="1" applyFont="1" applyFill="1" applyAlignment="1">
      <alignment horizontal="right"/>
    </xf>
    <xf numFmtId="4" fontId="50" fillId="27" borderId="0" xfId="0" applyNumberFormat="1" applyFont="1" applyFill="1" applyAlignment="1">
      <alignment horizontal="right"/>
    </xf>
    <xf numFmtId="4" fontId="51" fillId="27" borderId="0" xfId="0" applyNumberFormat="1" applyFont="1" applyFill="1" applyAlignment="1">
      <alignment horizontal="right" wrapText="1"/>
    </xf>
    <xf numFmtId="3" fontId="38" fillId="0" borderId="0" xfId="0" applyNumberFormat="1" applyFont="1"/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3" fontId="51" fillId="27" borderId="0" xfId="0" applyNumberFormat="1" applyFont="1" applyFill="1" applyAlignment="1">
      <alignment horizontal="right"/>
    </xf>
    <xf numFmtId="0" fontId="50" fillId="27" borderId="0" xfId="0" applyFont="1" applyFill="1"/>
    <xf numFmtId="3" fontId="51" fillId="27" borderId="0" xfId="0" applyNumberFormat="1" applyFont="1" applyFill="1" applyAlignment="1">
      <alignment horizontal="right" wrapText="1"/>
    </xf>
    <xf numFmtId="0" fontId="51" fillId="27" borderId="0" xfId="0" applyFont="1" applyFill="1" applyAlignment="1">
      <alignment horizontal="justify" vertical="center" wrapText="1"/>
    </xf>
    <xf numFmtId="4" fontId="51" fillId="27" borderId="0" xfId="0" applyNumberFormat="1" applyFont="1" applyFill="1" applyAlignment="1">
      <alignment horizontal="right" vertical="center" wrapText="1"/>
    </xf>
    <xf numFmtId="4" fontId="50" fillId="27" borderId="0" xfId="0" applyNumberFormat="1" applyFont="1" applyFill="1" applyAlignment="1">
      <alignment vertical="center" wrapText="1"/>
    </xf>
    <xf numFmtId="0" fontId="50" fillId="27" borderId="0" xfId="0" applyFont="1" applyFill="1" applyAlignment="1">
      <alignment horizontal="justify" vertical="center" wrapText="1"/>
    </xf>
    <xf numFmtId="4" fontId="50" fillId="27" borderId="0" xfId="0" applyNumberFormat="1" applyFont="1" applyFill="1" applyAlignment="1">
      <alignment horizontal="right" vertical="center" wrapText="1"/>
    </xf>
    <xf numFmtId="3" fontId="33" fillId="0" borderId="0" xfId="0" applyNumberFormat="1" applyFont="1"/>
    <xf numFmtId="0" fontId="31" fillId="0" borderId="0" xfId="0" applyFont="1" applyAlignment="1">
      <alignment horizontal="right"/>
    </xf>
    <xf numFmtId="4" fontId="0" fillId="13" borderId="0" xfId="0" applyNumberFormat="1" applyFill="1"/>
    <xf numFmtId="4" fontId="0" fillId="14" borderId="0" xfId="0" applyNumberFormat="1" applyFill="1"/>
    <xf numFmtId="4" fontId="0" fillId="15" borderId="0" xfId="0" applyNumberFormat="1" applyFill="1"/>
    <xf numFmtId="4" fontId="0" fillId="4" borderId="0" xfId="0" applyNumberFormat="1" applyFill="1"/>
    <xf numFmtId="4" fontId="0" fillId="16" borderId="0" xfId="0" applyNumberFormat="1" applyFill="1"/>
    <xf numFmtId="4" fontId="0" fillId="17" borderId="0" xfId="0" applyNumberFormat="1" applyFill="1"/>
    <xf numFmtId="4" fontId="0" fillId="18" borderId="0" xfId="0" applyNumberFormat="1" applyFill="1"/>
    <xf numFmtId="4" fontId="0" fillId="19" borderId="0" xfId="0" applyNumberFormat="1" applyFill="1"/>
    <xf numFmtId="4" fontId="0" fillId="20" borderId="0" xfId="0" applyNumberFormat="1" applyFill="1"/>
    <xf numFmtId="4" fontId="0" fillId="21" borderId="0" xfId="0" applyNumberFormat="1" applyFill="1"/>
    <xf numFmtId="4" fontId="0" fillId="22" borderId="0" xfId="0" applyNumberFormat="1" applyFill="1"/>
    <xf numFmtId="4" fontId="0" fillId="23" borderId="0" xfId="0" applyNumberFormat="1" applyFill="1"/>
    <xf numFmtId="4" fontId="0" fillId="24" borderId="0" xfId="0" applyNumberFormat="1" applyFill="1"/>
    <xf numFmtId="4" fontId="0" fillId="25" borderId="0" xfId="0" applyNumberFormat="1" applyFill="1"/>
    <xf numFmtId="4" fontId="26" fillId="25" borderId="0" xfId="0" applyNumberFormat="1" applyFont="1" applyFill="1"/>
    <xf numFmtId="4" fontId="0" fillId="28" borderId="0" xfId="0" applyNumberFormat="1" applyFill="1"/>
    <xf numFmtId="0" fontId="0" fillId="13" borderId="0" xfId="0" applyFill="1"/>
    <xf numFmtId="0" fontId="0" fillId="31" borderId="0" xfId="0" applyFill="1"/>
    <xf numFmtId="4" fontId="0" fillId="31" borderId="0" xfId="0" applyNumberFormat="1" applyFill="1"/>
    <xf numFmtId="0" fontId="0" fillId="28" borderId="0" xfId="0" applyFill="1"/>
    <xf numFmtId="0" fontId="0" fillId="33" borderId="0" xfId="0" applyFill="1"/>
    <xf numFmtId="4" fontId="0" fillId="33" borderId="0" xfId="0" applyNumberFormat="1" applyFill="1"/>
    <xf numFmtId="0" fontId="25" fillId="0" borderId="0" xfId="0" applyFont="1" applyAlignment="1">
      <alignment horizontal="center"/>
    </xf>
    <xf numFmtId="0" fontId="53" fillId="0" borderId="0" xfId="0" applyFont="1"/>
    <xf numFmtId="4" fontId="55" fillId="0" borderId="0" xfId="0" applyNumberFormat="1" applyFont="1"/>
    <xf numFmtId="4" fontId="54" fillId="0" borderId="0" xfId="0" applyNumberFormat="1" applyFont="1"/>
    <xf numFmtId="4" fontId="54" fillId="10" borderId="0" xfId="0" applyNumberFormat="1" applyFont="1" applyFill="1"/>
    <xf numFmtId="0" fontId="54" fillId="0" borderId="0" xfId="0" applyFont="1"/>
    <xf numFmtId="4" fontId="54" fillId="5" borderId="0" xfId="0" applyNumberFormat="1" applyFont="1" applyFill="1"/>
    <xf numFmtId="4" fontId="54" fillId="3" borderId="0" xfId="0" applyNumberFormat="1" applyFont="1" applyFill="1"/>
    <xf numFmtId="4" fontId="54" fillId="7" borderId="0" xfId="0" applyNumberFormat="1" applyFont="1" applyFill="1"/>
    <xf numFmtId="4" fontId="54" fillId="8" borderId="0" xfId="0" applyNumberFormat="1" applyFont="1" applyFill="1"/>
    <xf numFmtId="4" fontId="54" fillId="9" borderId="0" xfId="0" applyNumberFormat="1" applyFont="1" applyFill="1"/>
    <xf numFmtId="4" fontId="57" fillId="11" borderId="0" xfId="0" applyNumberFormat="1" applyFont="1" applyFill="1"/>
    <xf numFmtId="4" fontId="57" fillId="12" borderId="0" xfId="0" applyNumberFormat="1" applyFont="1" applyFill="1"/>
    <xf numFmtId="4" fontId="57" fillId="7" borderId="0" xfId="0" applyNumberFormat="1" applyFont="1" applyFill="1"/>
    <xf numFmtId="0" fontId="58" fillId="0" borderId="0" xfId="0" applyFont="1"/>
    <xf numFmtId="4" fontId="54" fillId="13" borderId="0" xfId="0" applyNumberFormat="1" applyFont="1" applyFill="1"/>
    <xf numFmtId="4" fontId="54" fillId="14" borderId="0" xfId="0" applyNumberFormat="1" applyFont="1" applyFill="1"/>
    <xf numFmtId="4" fontId="54" fillId="25" borderId="0" xfId="0" applyNumberFormat="1" applyFont="1" applyFill="1"/>
    <xf numFmtId="0" fontId="52" fillId="0" borderId="0" xfId="0" applyFont="1"/>
    <xf numFmtId="0" fontId="54" fillId="0" borderId="0" xfId="0" applyFont="1" applyAlignment="1">
      <alignment horizontal="center"/>
    </xf>
    <xf numFmtId="0" fontId="0" fillId="8" borderId="20" xfId="0" applyFill="1" applyBorder="1"/>
    <xf numFmtId="0" fontId="0" fillId="9" borderId="20" xfId="0" applyFill="1" applyBorder="1"/>
    <xf numFmtId="0" fontId="25" fillId="3" borderId="28" xfId="0" applyFont="1" applyFill="1" applyBorder="1" applyAlignment="1">
      <alignment horizontal="center"/>
    </xf>
    <xf numFmtId="0" fontId="25" fillId="3" borderId="29" xfId="0" applyFont="1" applyFill="1" applyBorder="1"/>
    <xf numFmtId="4" fontId="25" fillId="3" borderId="30" xfId="0" applyNumberFormat="1" applyFont="1" applyFill="1" applyBorder="1"/>
    <xf numFmtId="4" fontId="54" fillId="4" borderId="0" xfId="0" applyNumberFormat="1" applyFont="1" applyFill="1"/>
    <xf numFmtId="4" fontId="54" fillId="16" borderId="0" xfId="0" applyNumberFormat="1" applyFont="1" applyFill="1"/>
    <xf numFmtId="4" fontId="54" fillId="17" borderId="0" xfId="0" applyNumberFormat="1" applyFont="1" applyFill="1"/>
    <xf numFmtId="4" fontId="54" fillId="18" borderId="0" xfId="0" applyNumberFormat="1" applyFont="1" applyFill="1"/>
    <xf numFmtId="4" fontId="54" fillId="19" borderId="0" xfId="0" applyNumberFormat="1" applyFont="1" applyFill="1"/>
    <xf numFmtId="4" fontId="54" fillId="20" borderId="0" xfId="0" applyNumberFormat="1" applyFont="1" applyFill="1"/>
    <xf numFmtId="4" fontId="54" fillId="21" borderId="0" xfId="0" applyNumberFormat="1" applyFont="1" applyFill="1"/>
    <xf numFmtId="4" fontId="54" fillId="22" borderId="0" xfId="0" applyNumberFormat="1" applyFont="1" applyFill="1"/>
    <xf numFmtId="4" fontId="54" fillId="23" borderId="0" xfId="0" applyNumberFormat="1" applyFont="1" applyFill="1"/>
    <xf numFmtId="4" fontId="54" fillId="24" borderId="0" xfId="0" applyNumberFormat="1" applyFont="1" applyFill="1"/>
    <xf numFmtId="4" fontId="54" fillId="15" borderId="0" xfId="0" applyNumberFormat="1" applyFont="1" applyFill="1"/>
    <xf numFmtId="0" fontId="0" fillId="3" borderId="17" xfId="0" applyFill="1" applyBorder="1"/>
    <xf numFmtId="4" fontId="0" fillId="3" borderId="21" xfId="0" applyNumberFormat="1" applyFill="1" applyBorder="1"/>
    <xf numFmtId="4" fontId="0" fillId="3" borderId="23" xfId="0" applyNumberFormat="1" applyFill="1" applyBorder="1"/>
    <xf numFmtId="0" fontId="0" fillId="3" borderId="24" xfId="0" applyFill="1" applyBorder="1"/>
    <xf numFmtId="0" fontId="0" fillId="3" borderId="18" xfId="0" applyFill="1" applyBorder="1"/>
    <xf numFmtId="0" fontId="0" fillId="8" borderId="17" xfId="0" applyFill="1" applyBorder="1"/>
    <xf numFmtId="4" fontId="0" fillId="8" borderId="21" xfId="0" applyNumberFormat="1" applyFill="1" applyBorder="1"/>
    <xf numFmtId="4" fontId="0" fillId="8" borderId="23" xfId="0" applyNumberFormat="1" applyFill="1" applyBorder="1"/>
    <xf numFmtId="0" fontId="0" fillId="8" borderId="24" xfId="0" applyFill="1" applyBorder="1"/>
    <xf numFmtId="0" fontId="0" fillId="8" borderId="18" xfId="0" applyFill="1" applyBorder="1"/>
    <xf numFmtId="4" fontId="25" fillId="8" borderId="12" xfId="0" applyNumberFormat="1" applyFont="1" applyFill="1" applyBorder="1"/>
    <xf numFmtId="0" fontId="0" fillId="9" borderId="17" xfId="0" applyFill="1" applyBorder="1"/>
    <xf numFmtId="4" fontId="0" fillId="9" borderId="21" xfId="0" applyNumberFormat="1" applyFill="1" applyBorder="1"/>
    <xf numFmtId="0" fontId="0" fillId="9" borderId="24" xfId="0" applyFill="1" applyBorder="1"/>
    <xf numFmtId="0" fontId="0" fillId="9" borderId="18" xfId="0" applyFill="1" applyBorder="1"/>
    <xf numFmtId="4" fontId="25" fillId="9" borderId="12" xfId="0" applyNumberFormat="1" applyFont="1" applyFill="1" applyBorder="1"/>
    <xf numFmtId="0" fontId="0" fillId="34" borderId="20" xfId="0" applyFill="1" applyBorder="1"/>
    <xf numFmtId="4" fontId="0" fillId="34" borderId="21" xfId="0" applyNumberFormat="1" applyFill="1" applyBorder="1"/>
    <xf numFmtId="0" fontId="0" fillId="34" borderId="24" xfId="0" applyFill="1" applyBorder="1"/>
    <xf numFmtId="4" fontId="25" fillId="34" borderId="12" xfId="0" applyNumberFormat="1" applyFont="1" applyFill="1" applyBorder="1"/>
    <xf numFmtId="4" fontId="0" fillId="13" borderId="20" xfId="0" applyNumberFormat="1" applyFill="1" applyBorder="1"/>
    <xf numFmtId="0" fontId="0" fillId="13" borderId="17" xfId="0" applyFill="1" applyBorder="1"/>
    <xf numFmtId="4" fontId="0" fillId="13" borderId="21" xfId="0" applyNumberFormat="1" applyFill="1" applyBorder="1"/>
    <xf numFmtId="4" fontId="0" fillId="3" borderId="20" xfId="0" applyNumberFormat="1" applyFill="1" applyBorder="1"/>
    <xf numFmtId="4" fontId="26" fillId="25" borderId="20" xfId="0" applyNumberFormat="1" applyFont="1" applyFill="1" applyBorder="1"/>
    <xf numFmtId="0" fontId="0" fillId="25" borderId="17" xfId="0" applyFill="1" applyBorder="1"/>
    <xf numFmtId="4" fontId="0" fillId="25" borderId="21" xfId="0" applyNumberFormat="1" applyFill="1" applyBorder="1"/>
    <xf numFmtId="0" fontId="0" fillId="25" borderId="22" xfId="0" applyFill="1" applyBorder="1"/>
    <xf numFmtId="0" fontId="0" fillId="25" borderId="0" xfId="0" applyFill="1"/>
    <xf numFmtId="4" fontId="0" fillId="25" borderId="23" xfId="0" applyNumberFormat="1" applyFill="1" applyBorder="1"/>
    <xf numFmtId="4" fontId="0" fillId="25" borderId="24" xfId="0" applyNumberFormat="1" applyFill="1" applyBorder="1"/>
    <xf numFmtId="0" fontId="0" fillId="25" borderId="18" xfId="0" applyFill="1" applyBorder="1"/>
    <xf numFmtId="4" fontId="25" fillId="25" borderId="12" xfId="0" applyNumberFormat="1" applyFont="1" applyFill="1" applyBorder="1"/>
    <xf numFmtId="4" fontId="0" fillId="5" borderId="20" xfId="0" applyNumberFormat="1" applyFill="1" applyBorder="1"/>
    <xf numFmtId="0" fontId="0" fillId="5" borderId="17" xfId="0" applyFill="1" applyBorder="1"/>
    <xf numFmtId="4" fontId="0" fillId="5" borderId="21" xfId="0" applyNumberFormat="1" applyFill="1" applyBorder="1"/>
    <xf numFmtId="4" fontId="0" fillId="5" borderId="24" xfId="0" applyNumberFormat="1" applyFill="1" applyBorder="1"/>
    <xf numFmtId="0" fontId="0" fillId="5" borderId="18" xfId="0" applyFill="1" applyBorder="1"/>
    <xf numFmtId="0" fontId="0" fillId="3" borderId="23" xfId="0" applyFill="1" applyBorder="1"/>
    <xf numFmtId="0" fontId="25" fillId="3" borderId="22" xfId="0" applyFont="1" applyFill="1" applyBorder="1"/>
    <xf numFmtId="4" fontId="25" fillId="3" borderId="23" xfId="0" applyNumberFormat="1" applyFont="1" applyFill="1" applyBorder="1"/>
    <xf numFmtId="4" fontId="53" fillId="0" borderId="0" xfId="0" applyNumberFormat="1" applyFont="1"/>
    <xf numFmtId="4" fontId="56" fillId="5" borderId="12" xfId="0" applyNumberFormat="1" applyFont="1" applyFill="1" applyBorder="1"/>
    <xf numFmtId="0" fontId="27" fillId="0" borderId="0" xfId="0" applyFont="1" applyAlignment="1">
      <alignment vertical="center" wrapText="1"/>
    </xf>
    <xf numFmtId="0" fontId="0" fillId="0" borderId="20" xfId="0" applyBorder="1"/>
    <xf numFmtId="4" fontId="0" fillId="0" borderId="23" xfId="0" applyNumberFormat="1" applyBorder="1"/>
    <xf numFmtId="0" fontId="0" fillId="0" borderId="24" xfId="0" applyBorder="1"/>
    <xf numFmtId="0" fontId="25" fillId="0" borderId="20" xfId="0" applyFont="1" applyBorder="1"/>
    <xf numFmtId="0" fontId="0" fillId="0" borderId="21" xfId="0" applyBorder="1"/>
    <xf numFmtId="0" fontId="25" fillId="0" borderId="22" xfId="0" applyFont="1" applyBorder="1"/>
    <xf numFmtId="4" fontId="25" fillId="0" borderId="23" xfId="0" applyNumberFormat="1" applyFont="1" applyBorder="1" applyAlignment="1">
      <alignment vertical="center" wrapText="1"/>
    </xf>
    <xf numFmtId="4" fontId="30" fillId="0" borderId="23" xfId="0" applyNumberFormat="1" applyFont="1" applyBorder="1"/>
    <xf numFmtId="0" fontId="30" fillId="0" borderId="22" xfId="0" applyFont="1" applyBorder="1"/>
    <xf numFmtId="4" fontId="29" fillId="0" borderId="12" xfId="0" applyNumberFormat="1" applyFont="1" applyBorder="1"/>
    <xf numFmtId="4" fontId="29" fillId="0" borderId="21" xfId="0" applyNumberFormat="1" applyFont="1" applyBorder="1"/>
    <xf numFmtId="0" fontId="25" fillId="0" borderId="21" xfId="0" applyFont="1" applyBorder="1" applyAlignment="1">
      <alignment horizontal="right"/>
    </xf>
    <xf numFmtId="4" fontId="25" fillId="0" borderId="23" xfId="0" applyNumberFormat="1" applyFont="1" applyBorder="1"/>
    <xf numFmtId="0" fontId="53" fillId="0" borderId="24" xfId="0" applyFont="1" applyBorder="1"/>
    <xf numFmtId="0" fontId="23" fillId="0" borderId="31" xfId="0" applyFont="1" applyBorder="1" applyAlignment="1">
      <alignment horizontal="justify" vertical="center" wrapText="1"/>
    </xf>
    <xf numFmtId="0" fontId="23" fillId="0" borderId="31" xfId="0" applyFont="1" applyBorder="1" applyAlignment="1">
      <alignment horizontal="center" vertical="center" wrapText="1"/>
    </xf>
    <xf numFmtId="9" fontId="23" fillId="0" borderId="31" xfId="0" applyNumberFormat="1" applyFont="1" applyBorder="1" applyAlignment="1">
      <alignment horizontal="center" vertical="center" wrapText="1"/>
    </xf>
    <xf numFmtId="10" fontId="23" fillId="0" borderId="31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justify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22" fillId="0" borderId="31" xfId="0" applyFont="1" applyBorder="1" applyAlignment="1">
      <alignment horizontal="center" vertical="center" wrapText="1"/>
    </xf>
    <xf numFmtId="0" fontId="23" fillId="0" borderId="0" xfId="0" applyFont="1"/>
    <xf numFmtId="0" fontId="23" fillId="0" borderId="31" xfId="0" applyFont="1" applyBorder="1" applyAlignment="1">
      <alignment horizontal="left" vertical="center" wrapText="1"/>
    </xf>
    <xf numFmtId="9" fontId="23" fillId="0" borderId="28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28" xfId="0" applyNumberFormat="1" applyFont="1" applyBorder="1" applyAlignment="1">
      <alignment horizontal="center" vertical="center" wrapText="1"/>
    </xf>
    <xf numFmtId="0" fontId="59" fillId="0" borderId="31" xfId="1" applyFont="1" applyFill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59" fillId="0" borderId="31" xfId="1" applyFont="1" applyFill="1" applyBorder="1" applyAlignment="1">
      <alignment horizontal="center" vertical="center" wrapText="1"/>
    </xf>
    <xf numFmtId="0" fontId="59" fillId="0" borderId="38" xfId="1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9" fontId="64" fillId="0" borderId="28" xfId="0" applyNumberFormat="1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3" fontId="23" fillId="0" borderId="35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0" fontId="23" fillId="0" borderId="35" xfId="3" applyNumberFormat="1" applyFont="1" applyBorder="1" applyAlignment="1">
      <alignment horizontal="center" vertical="center" wrapText="1"/>
    </xf>
    <xf numFmtId="10" fontId="23" fillId="0" borderId="31" xfId="3" applyNumberFormat="1" applyFont="1" applyBorder="1" applyAlignment="1">
      <alignment horizontal="center" vertical="center" wrapText="1"/>
    </xf>
    <xf numFmtId="166" fontId="23" fillId="0" borderId="35" xfId="0" applyNumberFormat="1" applyFont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4" fontId="23" fillId="0" borderId="31" xfId="0" applyNumberFormat="1" applyFont="1" applyBorder="1" applyAlignment="1">
      <alignment horizontal="center" vertical="center" wrapText="1"/>
    </xf>
    <xf numFmtId="166" fontId="23" fillId="0" borderId="37" xfId="0" applyNumberFormat="1" applyFont="1" applyBorder="1" applyAlignment="1">
      <alignment horizontal="center" vertical="center" wrapText="1"/>
    </xf>
    <xf numFmtId="166" fontId="23" fillId="0" borderId="3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2" fillId="0" borderId="10" xfId="0" applyNumberFormat="1" applyFont="1" applyBorder="1" applyAlignment="1">
      <alignment horizontal="justify" vertical="center" wrapText="1"/>
    </xf>
    <xf numFmtId="4" fontId="12" fillId="26" borderId="10" xfId="0" applyNumberFormat="1" applyFont="1" applyFill="1" applyBorder="1" applyAlignment="1">
      <alignment horizontal="justify" vertical="center" wrapText="1"/>
    </xf>
    <xf numFmtId="0" fontId="63" fillId="9" borderId="31" xfId="0" applyFont="1" applyFill="1" applyBorder="1" applyAlignment="1">
      <alignment horizontal="left" vertical="center" wrapText="1"/>
    </xf>
    <xf numFmtId="3" fontId="64" fillId="9" borderId="31" xfId="0" applyNumberFormat="1" applyFont="1" applyFill="1" applyBorder="1" applyAlignment="1">
      <alignment horizontal="center" vertical="center" wrapText="1"/>
    </xf>
    <xf numFmtId="0" fontId="65" fillId="9" borderId="31" xfId="1" applyFont="1" applyFill="1" applyBorder="1" applyAlignment="1">
      <alignment horizontal="left" vertical="center" wrapText="1"/>
    </xf>
    <xf numFmtId="0" fontId="64" fillId="9" borderId="31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left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6" fillId="9" borderId="31" xfId="1" applyFont="1" applyFill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justify" vertical="center" wrapText="1"/>
    </xf>
    <xf numFmtId="4" fontId="12" fillId="26" borderId="9" xfId="0" applyNumberFormat="1" applyFont="1" applyFill="1" applyBorder="1" applyAlignment="1">
      <alignment horizontal="justify" vertical="center" wrapText="1"/>
    </xf>
    <xf numFmtId="4" fontId="0" fillId="0" borderId="9" xfId="0" applyNumberFormat="1" applyBorder="1" applyAlignment="1">
      <alignment vertical="center" wrapText="1"/>
    </xf>
    <xf numFmtId="4" fontId="0" fillId="26" borderId="9" xfId="0" applyNumberFormat="1" applyFill="1" applyBorder="1" applyAlignment="1">
      <alignment vertical="center" wrapText="1"/>
    </xf>
    <xf numFmtId="0" fontId="66" fillId="0" borderId="44" xfId="0" applyFont="1" applyBorder="1" applyAlignment="1">
      <alignment horizontal="justify" vertical="center" wrapText="1"/>
    </xf>
    <xf numFmtId="0" fontId="66" fillId="0" borderId="45" xfId="0" applyFont="1" applyBorder="1" applyAlignment="1">
      <alignment horizontal="justify" vertical="center" wrapText="1"/>
    </xf>
    <xf numFmtId="0" fontId="66" fillId="0" borderId="45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justify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10" fontId="67" fillId="0" borderId="50" xfId="0" applyNumberFormat="1" applyFont="1" applyBorder="1" applyAlignment="1">
      <alignment horizontal="center" vertical="center" wrapText="1"/>
    </xf>
    <xf numFmtId="10" fontId="67" fillId="0" borderId="46" xfId="0" applyNumberFormat="1" applyFont="1" applyBorder="1" applyAlignment="1">
      <alignment horizontal="center" vertical="center" wrapText="1"/>
    </xf>
    <xf numFmtId="10" fontId="61" fillId="0" borderId="50" xfId="0" applyNumberFormat="1" applyFont="1" applyBorder="1" applyAlignment="1">
      <alignment horizontal="center" vertical="center" wrapText="1"/>
    </xf>
    <xf numFmtId="10" fontId="61" fillId="0" borderId="46" xfId="0" applyNumberFormat="1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7" fillId="0" borderId="48" xfId="0" applyFont="1" applyBorder="1" applyAlignment="1">
      <alignment vertical="center" wrapText="1"/>
    </xf>
    <xf numFmtId="3" fontId="67" fillId="0" borderId="48" xfId="0" applyNumberFormat="1" applyFont="1" applyBorder="1" applyAlignment="1">
      <alignment horizontal="center" vertical="center" wrapText="1"/>
    </xf>
    <xf numFmtId="3" fontId="67" fillId="0" borderId="14" xfId="0" applyNumberFormat="1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7" fillId="0" borderId="50" xfId="0" applyFont="1" applyBorder="1" applyAlignment="1">
      <alignment vertical="center" wrapText="1"/>
    </xf>
    <xf numFmtId="3" fontId="68" fillId="9" borderId="31" xfId="0" applyNumberFormat="1" applyFont="1" applyFill="1" applyBorder="1" applyAlignment="1">
      <alignment horizontal="center" vertical="center" wrapText="1"/>
    </xf>
    <xf numFmtId="0" fontId="68" fillId="9" borderId="31" xfId="0" applyFont="1" applyFill="1" applyBorder="1" applyAlignment="1">
      <alignment horizontal="center" vertical="center" wrapText="1"/>
    </xf>
    <xf numFmtId="0" fontId="23" fillId="9" borderId="31" xfId="0" applyFont="1" applyFill="1" applyBorder="1" applyAlignment="1">
      <alignment horizontal="center" vertical="center" wrapText="1"/>
    </xf>
    <xf numFmtId="0" fontId="69" fillId="0" borderId="48" xfId="1" applyFont="1" applyBorder="1" applyAlignment="1">
      <alignment vertical="center" wrapText="1"/>
    </xf>
    <xf numFmtId="0" fontId="70" fillId="0" borderId="0" xfId="0" applyFont="1"/>
    <xf numFmtId="4" fontId="71" fillId="25" borderId="0" xfId="0" applyNumberFormat="1" applyFont="1" applyFill="1"/>
    <xf numFmtId="4" fontId="71" fillId="3" borderId="0" xfId="0" applyNumberFormat="1" applyFont="1" applyFill="1"/>
    <xf numFmtId="4" fontId="0" fillId="13" borderId="24" xfId="0" applyNumberFormat="1" applyFill="1" applyBorder="1"/>
    <xf numFmtId="4" fontId="56" fillId="13" borderId="12" xfId="0" applyNumberFormat="1" applyFont="1" applyFill="1" applyBorder="1"/>
    <xf numFmtId="4" fontId="55" fillId="3" borderId="0" xfId="0" applyNumberFormat="1" applyFont="1" applyFill="1"/>
    <xf numFmtId="4" fontId="0" fillId="0" borderId="12" xfId="0" applyNumberFormat="1" applyBorder="1"/>
    <xf numFmtId="4" fontId="0" fillId="0" borderId="21" xfId="0" applyNumberFormat="1" applyBorder="1"/>
    <xf numFmtId="4" fontId="25" fillId="0" borderId="12" xfId="0" applyNumberFormat="1" applyFont="1" applyBorder="1"/>
    <xf numFmtId="4" fontId="72" fillId="0" borderId="23" xfId="0" applyNumberFormat="1" applyFont="1" applyBorder="1"/>
    <xf numFmtId="0" fontId="72" fillId="0" borderId="22" xfId="0" applyFont="1" applyBorder="1"/>
    <xf numFmtId="4" fontId="30" fillId="0" borderId="12" xfId="0" applyNumberFormat="1" applyFont="1" applyBorder="1"/>
    <xf numFmtId="4" fontId="54" fillId="6" borderId="0" xfId="0" applyNumberFormat="1" applyFont="1" applyFill="1"/>
    <xf numFmtId="4" fontId="0" fillId="35" borderId="0" xfId="0" applyNumberFormat="1" applyFill="1"/>
    <xf numFmtId="0" fontId="0" fillId="36" borderId="0" xfId="0" applyFill="1"/>
    <xf numFmtId="4" fontId="0" fillId="36" borderId="0" xfId="0" applyNumberFormat="1" applyFill="1"/>
    <xf numFmtId="4" fontId="0" fillId="37" borderId="0" xfId="0" applyNumberFormat="1" applyFill="1"/>
    <xf numFmtId="4" fontId="0" fillId="38" borderId="0" xfId="0" applyNumberFormat="1" applyFill="1"/>
    <xf numFmtId="4" fontId="0" fillId="39" borderId="0" xfId="0" applyNumberFormat="1" applyFill="1"/>
    <xf numFmtId="4" fontId="54" fillId="35" borderId="0" xfId="0" applyNumberFormat="1" applyFont="1" applyFill="1"/>
    <xf numFmtId="4" fontId="54" fillId="36" borderId="0" xfId="0" applyNumberFormat="1" applyFont="1" applyFill="1"/>
    <xf numFmtId="4" fontId="54" fillId="38" borderId="0" xfId="0" applyNumberFormat="1" applyFont="1" applyFill="1"/>
    <xf numFmtId="4" fontId="54" fillId="37" borderId="0" xfId="0" applyNumberFormat="1" applyFont="1" applyFill="1"/>
    <xf numFmtId="4" fontId="54" fillId="39" borderId="0" xfId="0" applyNumberFormat="1" applyFont="1" applyFill="1"/>
    <xf numFmtId="4" fontId="25" fillId="3" borderId="0" xfId="0" applyNumberFormat="1" applyFont="1" applyFill="1"/>
    <xf numFmtId="0" fontId="0" fillId="9" borderId="22" xfId="0" applyFill="1" applyBorder="1"/>
    <xf numFmtId="4" fontId="0" fillId="9" borderId="23" xfId="0" applyNumberFormat="1" applyFill="1" applyBorder="1"/>
    <xf numFmtId="0" fontId="0" fillId="39" borderId="0" xfId="0" applyFill="1"/>
    <xf numFmtId="4" fontId="0" fillId="39" borderId="20" xfId="0" applyNumberFormat="1" applyFill="1" applyBorder="1"/>
    <xf numFmtId="4" fontId="0" fillId="39" borderId="21" xfId="0" applyNumberFormat="1" applyFill="1" applyBorder="1"/>
    <xf numFmtId="0" fontId="0" fillId="39" borderId="22" xfId="0" applyFill="1" applyBorder="1"/>
    <xf numFmtId="4" fontId="0" fillId="39" borderId="23" xfId="0" applyNumberFormat="1" applyFill="1" applyBorder="1"/>
    <xf numFmtId="0" fontId="0" fillId="39" borderId="24" xfId="0" applyFill="1" applyBorder="1"/>
    <xf numFmtId="4" fontId="25" fillId="39" borderId="12" xfId="0" applyNumberFormat="1" applyFont="1" applyFill="1" applyBorder="1"/>
    <xf numFmtId="4" fontId="54" fillId="32" borderId="0" xfId="0" applyNumberFormat="1" applyFont="1" applyFill="1"/>
    <xf numFmtId="0" fontId="25" fillId="32" borderId="20" xfId="0" applyFont="1" applyFill="1" applyBorder="1"/>
    <xf numFmtId="0" fontId="25" fillId="32" borderId="21" xfId="0" applyFont="1" applyFill="1" applyBorder="1"/>
    <xf numFmtId="0" fontId="25" fillId="32" borderId="22" xfId="0" applyFont="1" applyFill="1" applyBorder="1"/>
    <xf numFmtId="0" fontId="25" fillId="32" borderId="23" xfId="0" applyFont="1" applyFill="1" applyBorder="1"/>
    <xf numFmtId="0" fontId="0" fillId="32" borderId="22" xfId="0" applyFill="1" applyBorder="1"/>
    <xf numFmtId="4" fontId="0" fillId="32" borderId="0" xfId="0" applyNumberFormat="1" applyFill="1"/>
    <xf numFmtId="4" fontId="0" fillId="32" borderId="23" xfId="0" applyNumberFormat="1" applyFill="1" applyBorder="1"/>
    <xf numFmtId="0" fontId="0" fillId="32" borderId="24" xfId="0" applyFill="1" applyBorder="1"/>
    <xf numFmtId="4" fontId="25" fillId="32" borderId="18" xfId="0" applyNumberFormat="1" applyFont="1" applyFill="1" applyBorder="1"/>
    <xf numFmtId="4" fontId="25" fillId="32" borderId="12" xfId="0" applyNumberFormat="1" applyFont="1" applyFill="1" applyBorder="1"/>
    <xf numFmtId="0" fontId="25" fillId="3" borderId="0" xfId="0" applyFont="1" applyFill="1"/>
    <xf numFmtId="0" fontId="25" fillId="3" borderId="20" xfId="0" applyFont="1" applyFill="1" applyBorder="1"/>
    <xf numFmtId="0" fontId="0" fillId="3" borderId="21" xfId="0" applyFill="1" applyBorder="1"/>
    <xf numFmtId="4" fontId="25" fillId="3" borderId="18" xfId="0" applyNumberFormat="1" applyFont="1" applyFill="1" applyBorder="1"/>
    <xf numFmtId="4" fontId="54" fillId="28" borderId="0" xfId="0" applyNumberFormat="1" applyFont="1" applyFill="1"/>
    <xf numFmtId="0" fontId="25" fillId="28" borderId="20" xfId="0" applyFont="1" applyFill="1" applyBorder="1"/>
    <xf numFmtId="0" fontId="0" fillId="28" borderId="21" xfId="0" applyFill="1" applyBorder="1"/>
    <xf numFmtId="0" fontId="0" fillId="28" borderId="22" xfId="0" applyFill="1" applyBorder="1"/>
    <xf numFmtId="4" fontId="0" fillId="28" borderId="23" xfId="0" applyNumberFormat="1" applyFill="1" applyBorder="1"/>
    <xf numFmtId="0" fontId="0" fillId="28" borderId="24" xfId="0" applyFill="1" applyBorder="1"/>
    <xf numFmtId="4" fontId="25" fillId="28" borderId="18" xfId="0" applyNumberFormat="1" applyFont="1" applyFill="1" applyBorder="1"/>
    <xf numFmtId="4" fontId="25" fillId="28" borderId="12" xfId="0" applyNumberFormat="1" applyFont="1" applyFill="1" applyBorder="1"/>
    <xf numFmtId="4" fontId="54" fillId="33" borderId="0" xfId="0" applyNumberFormat="1" applyFont="1" applyFill="1"/>
    <xf numFmtId="0" fontId="25" fillId="33" borderId="20" xfId="0" applyFont="1" applyFill="1" applyBorder="1"/>
    <xf numFmtId="0" fontId="0" fillId="33" borderId="21" xfId="0" applyFill="1" applyBorder="1"/>
    <xf numFmtId="0" fontId="0" fillId="33" borderId="22" xfId="0" applyFill="1" applyBorder="1"/>
    <xf numFmtId="4" fontId="0" fillId="33" borderId="23" xfId="0" applyNumberFormat="1" applyFill="1" applyBorder="1"/>
    <xf numFmtId="0" fontId="0" fillId="33" borderId="24" xfId="0" applyFill="1" applyBorder="1"/>
    <xf numFmtId="4" fontId="25" fillId="33" borderId="18" xfId="0" applyNumberFormat="1" applyFont="1" applyFill="1" applyBorder="1"/>
    <xf numFmtId="4" fontId="25" fillId="33" borderId="12" xfId="0" applyNumberFormat="1" applyFont="1" applyFill="1" applyBorder="1"/>
    <xf numFmtId="4" fontId="29" fillId="3" borderId="0" xfId="0" applyNumberFormat="1" applyFont="1" applyFill="1"/>
    <xf numFmtId="0" fontId="0" fillId="35" borderId="0" xfId="0" applyFill="1"/>
    <xf numFmtId="0" fontId="0" fillId="24" borderId="0" xfId="0" applyFill="1"/>
    <xf numFmtId="0" fontId="0" fillId="40" borderId="0" xfId="0" applyFill="1"/>
    <xf numFmtId="4" fontId="0" fillId="40" borderId="0" xfId="0" applyNumberFormat="1" applyFill="1"/>
    <xf numFmtId="0" fontId="0" fillId="41" borderId="0" xfId="0" applyFill="1"/>
    <xf numFmtId="4" fontId="0" fillId="41" borderId="0" xfId="0" applyNumberFormat="1" applyFill="1"/>
    <xf numFmtId="0" fontId="0" fillId="15" borderId="0" xfId="0" applyFill="1"/>
    <xf numFmtId="0" fontId="0" fillId="42" borderId="0" xfId="0" applyFill="1"/>
    <xf numFmtId="4" fontId="0" fillId="42" borderId="0" xfId="0" applyNumberFormat="1" applyFill="1"/>
    <xf numFmtId="4" fontId="25" fillId="0" borderId="18" xfId="0" applyNumberFormat="1" applyFont="1" applyBorder="1"/>
    <xf numFmtId="0" fontId="56" fillId="0" borderId="0" xfId="0" applyFont="1"/>
    <xf numFmtId="0" fontId="25" fillId="2" borderId="0" xfId="0" applyFont="1" applyFill="1" applyAlignment="1">
      <alignment horizontal="center"/>
    </xf>
    <xf numFmtId="0" fontId="74" fillId="0" borderId="0" xfId="0" applyFont="1"/>
    <xf numFmtId="4" fontId="74" fillId="0" borderId="0" xfId="0" applyNumberFormat="1" applyFont="1"/>
    <xf numFmtId="0" fontId="0" fillId="43" borderId="0" xfId="0" applyFill="1"/>
    <xf numFmtId="0" fontId="0" fillId="23" borderId="0" xfId="0" applyFill="1"/>
    <xf numFmtId="4" fontId="0" fillId="43" borderId="0" xfId="0" applyNumberFormat="1" applyFill="1"/>
    <xf numFmtId="4" fontId="25" fillId="2" borderId="18" xfId="0" applyNumberFormat="1" applyFont="1" applyFill="1" applyBorder="1"/>
    <xf numFmtId="0" fontId="0" fillId="22" borderId="0" xfId="0" applyFill="1"/>
    <xf numFmtId="0" fontId="0" fillId="21" borderId="0" xfId="0" applyFill="1"/>
    <xf numFmtId="0" fontId="0" fillId="44" borderId="0" xfId="0" applyFill="1"/>
    <xf numFmtId="4" fontId="0" fillId="44" borderId="0" xfId="0" applyNumberFormat="1" applyFill="1"/>
    <xf numFmtId="0" fontId="0" fillId="45" borderId="0" xfId="0" applyFill="1"/>
    <xf numFmtId="4" fontId="0" fillId="45" borderId="0" xfId="0" applyNumberFormat="1" applyFill="1"/>
    <xf numFmtId="0" fontId="0" fillId="20" borderId="0" xfId="0" applyFill="1"/>
    <xf numFmtId="0" fontId="0" fillId="46" borderId="0" xfId="0" applyFill="1"/>
    <xf numFmtId="4" fontId="0" fillId="46" borderId="0" xfId="0" applyNumberFormat="1" applyFill="1"/>
    <xf numFmtId="4" fontId="30" fillId="6" borderId="0" xfId="0" applyNumberFormat="1" applyFont="1" applyFill="1"/>
    <xf numFmtId="0" fontId="0" fillId="14" borderId="0" xfId="0" applyFill="1"/>
    <xf numFmtId="0" fontId="76" fillId="0" borderId="0" xfId="0" applyFont="1"/>
    <xf numFmtId="0" fontId="77" fillId="2" borderId="0" xfId="0" applyFont="1" applyFill="1" applyAlignment="1">
      <alignment horizontal="right"/>
    </xf>
    <xf numFmtId="4" fontId="76" fillId="33" borderId="0" xfId="0" applyNumberFormat="1" applyFont="1" applyFill="1"/>
    <xf numFmtId="4" fontId="76" fillId="13" borderId="0" xfId="0" applyNumberFormat="1" applyFont="1" applyFill="1"/>
    <xf numFmtId="4" fontId="76" fillId="28" borderId="0" xfId="0" applyNumberFormat="1" applyFont="1" applyFill="1"/>
    <xf numFmtId="4" fontId="76" fillId="25" borderId="0" xfId="0" applyNumberFormat="1" applyFont="1" applyFill="1"/>
    <xf numFmtId="4" fontId="76" fillId="24" borderId="0" xfId="0" applyNumberFormat="1" applyFont="1" applyFill="1"/>
    <xf numFmtId="4" fontId="76" fillId="39" borderId="0" xfId="0" applyNumberFormat="1" applyFont="1" applyFill="1"/>
    <xf numFmtId="4" fontId="76" fillId="7" borderId="0" xfId="0" applyNumberFormat="1" applyFont="1" applyFill="1"/>
    <xf numFmtId="4" fontId="76" fillId="40" borderId="0" xfId="0" applyNumberFormat="1" applyFont="1" applyFill="1"/>
    <xf numFmtId="4" fontId="76" fillId="41" borderId="0" xfId="0" applyNumberFormat="1" applyFont="1" applyFill="1"/>
    <xf numFmtId="4" fontId="76" fillId="15" borderId="0" xfId="0" applyNumberFormat="1" applyFont="1" applyFill="1"/>
    <xf numFmtId="4" fontId="76" fillId="3" borderId="0" xfId="0" applyNumberFormat="1" applyFont="1" applyFill="1"/>
    <xf numFmtId="4" fontId="76" fillId="42" borderId="0" xfId="0" applyNumberFormat="1" applyFont="1" applyFill="1"/>
    <xf numFmtId="0" fontId="77" fillId="0" borderId="0" xfId="0" applyFont="1" applyAlignment="1">
      <alignment horizontal="right"/>
    </xf>
    <xf numFmtId="4" fontId="76" fillId="43" borderId="0" xfId="0" applyNumberFormat="1" applyFont="1" applyFill="1"/>
    <xf numFmtId="4" fontId="76" fillId="8" borderId="0" xfId="0" applyNumberFormat="1" applyFont="1" applyFill="1"/>
    <xf numFmtId="4" fontId="76" fillId="35" borderId="0" xfId="0" applyNumberFormat="1" applyFont="1" applyFill="1"/>
    <xf numFmtId="4" fontId="76" fillId="23" borderId="0" xfId="0" applyNumberFormat="1" applyFont="1" applyFill="1"/>
    <xf numFmtId="4" fontId="77" fillId="0" borderId="0" xfId="0" applyNumberFormat="1" applyFont="1"/>
    <xf numFmtId="4" fontId="78" fillId="6" borderId="0" xfId="0" applyNumberFormat="1" applyFont="1" applyFill="1"/>
    <xf numFmtId="4" fontId="76" fillId="44" borderId="0" xfId="0" applyNumberFormat="1" applyFont="1" applyFill="1"/>
    <xf numFmtId="4" fontId="76" fillId="45" borderId="0" xfId="0" applyNumberFormat="1" applyFont="1" applyFill="1"/>
    <xf numFmtId="4" fontId="76" fillId="46" borderId="0" xfId="0" applyNumberFormat="1" applyFont="1" applyFill="1"/>
    <xf numFmtId="4" fontId="76" fillId="21" borderId="0" xfId="0" applyNumberFormat="1" applyFont="1" applyFill="1"/>
    <xf numFmtId="4" fontId="76" fillId="20" borderId="0" xfId="0" applyNumberFormat="1" applyFont="1" applyFill="1"/>
    <xf numFmtId="4" fontId="76" fillId="14" borderId="0" xfId="0" applyNumberFormat="1" applyFont="1" applyFill="1"/>
    <xf numFmtId="4" fontId="76" fillId="22" borderId="0" xfId="0" applyNumberFormat="1" applyFont="1" applyFill="1"/>
    <xf numFmtId="4" fontId="76" fillId="0" borderId="0" xfId="0" applyNumberFormat="1" applyFont="1"/>
    <xf numFmtId="4" fontId="0" fillId="7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4" fontId="0" fillId="14" borderId="0" xfId="0" applyNumberFormat="1" applyFill="1" applyAlignment="1">
      <alignment horizontal="right"/>
    </xf>
    <xf numFmtId="4" fontId="0" fillId="13" borderId="0" xfId="0" applyNumberFormat="1" applyFill="1" applyAlignment="1">
      <alignment horizontal="right"/>
    </xf>
    <xf numFmtId="4" fontId="56" fillId="0" borderId="0" xfId="0" applyNumberFormat="1" applyFont="1"/>
    <xf numFmtId="4" fontId="76" fillId="31" borderId="0" xfId="0" applyNumberFormat="1" applyFont="1" applyFill="1"/>
    <xf numFmtId="0" fontId="25" fillId="2" borderId="23" xfId="0" applyFont="1" applyFill="1" applyBorder="1" applyAlignment="1">
      <alignment horizontal="right"/>
    </xf>
    <xf numFmtId="4" fontId="0" fillId="13" borderId="23" xfId="0" applyNumberFormat="1" applyFill="1" applyBorder="1"/>
    <xf numFmtId="4" fontId="0" fillId="35" borderId="23" xfId="0" applyNumberFormat="1" applyFill="1" applyBorder="1"/>
    <xf numFmtId="4" fontId="0" fillId="24" borderId="23" xfId="0" applyNumberFormat="1" applyFill="1" applyBorder="1"/>
    <xf numFmtId="4" fontId="0" fillId="40" borderId="23" xfId="0" applyNumberFormat="1" applyFill="1" applyBorder="1"/>
    <xf numFmtId="4" fontId="0" fillId="41" borderId="23" xfId="0" applyNumberFormat="1" applyFill="1" applyBorder="1"/>
    <xf numFmtId="4" fontId="0" fillId="15" borderId="23" xfId="0" applyNumberFormat="1" applyFill="1" applyBorder="1" applyAlignment="1">
      <alignment horizontal="right"/>
    </xf>
    <xf numFmtId="4" fontId="0" fillId="42" borderId="23" xfId="0" applyNumberFormat="1" applyFill="1" applyBorder="1"/>
    <xf numFmtId="4" fontId="0" fillId="7" borderId="23" xfId="0" applyNumberFormat="1" applyFill="1" applyBorder="1"/>
    <xf numFmtId="4" fontId="0" fillId="15" borderId="23" xfId="0" applyNumberFormat="1" applyFill="1" applyBorder="1"/>
    <xf numFmtId="4" fontId="0" fillId="43" borderId="23" xfId="0" applyNumberFormat="1" applyFill="1" applyBorder="1"/>
    <xf numFmtId="4" fontId="0" fillId="23" borderId="23" xfId="0" applyNumberFormat="1" applyFill="1" applyBorder="1"/>
    <xf numFmtId="4" fontId="25" fillId="2" borderId="12" xfId="0" applyNumberFormat="1" applyFont="1" applyFill="1" applyBorder="1"/>
    <xf numFmtId="4" fontId="30" fillId="3" borderId="23" xfId="0" applyNumberFormat="1" applyFont="1" applyFill="1" applyBorder="1"/>
    <xf numFmtId="4" fontId="30" fillId="13" borderId="23" xfId="0" applyNumberFormat="1" applyFont="1" applyFill="1" applyBorder="1"/>
    <xf numFmtId="4" fontId="30" fillId="35" borderId="23" xfId="0" applyNumberFormat="1" applyFont="1" applyFill="1" applyBorder="1"/>
    <xf numFmtId="4" fontId="30" fillId="22" borderId="23" xfId="0" applyNumberFormat="1" applyFont="1" applyFill="1" applyBorder="1"/>
    <xf numFmtId="4" fontId="30" fillId="40" borderId="23" xfId="0" applyNumberFormat="1" applyFont="1" applyFill="1" applyBorder="1"/>
    <xf numFmtId="4" fontId="30" fillId="21" borderId="23" xfId="0" applyNumberFormat="1" applyFont="1" applyFill="1" applyBorder="1"/>
    <xf numFmtId="4" fontId="30" fillId="2" borderId="23" xfId="0" applyNumberFormat="1" applyFont="1" applyFill="1" applyBorder="1"/>
    <xf numFmtId="4" fontId="30" fillId="44" borderId="23" xfId="0" applyNumberFormat="1" applyFont="1" applyFill="1" applyBorder="1"/>
    <xf numFmtId="4" fontId="30" fillId="45" borderId="23" xfId="0" applyNumberFormat="1" applyFont="1" applyFill="1" applyBorder="1"/>
    <xf numFmtId="4" fontId="30" fillId="20" borderId="23" xfId="0" applyNumberFormat="1" applyFont="1" applyFill="1" applyBorder="1"/>
    <xf numFmtId="4" fontId="30" fillId="46" borderId="23" xfId="0" applyNumberFormat="1" applyFont="1" applyFill="1" applyBorder="1"/>
    <xf numFmtId="4" fontId="30" fillId="6" borderId="23" xfId="0" applyNumberFormat="1" applyFont="1" applyFill="1" applyBorder="1"/>
    <xf numFmtId="4" fontId="30" fillId="14" borderId="23" xfId="0" applyNumberFormat="1" applyFont="1" applyFill="1" applyBorder="1"/>
    <xf numFmtId="4" fontId="30" fillId="25" borderId="23" xfId="0" applyNumberFormat="1" applyFont="1" applyFill="1" applyBorder="1"/>
    <xf numFmtId="4" fontId="30" fillId="7" borderId="23" xfId="0" applyNumberFormat="1" applyFont="1" applyFill="1" applyBorder="1"/>
    <xf numFmtId="4" fontId="30" fillId="23" borderId="23" xfId="0" applyNumberFormat="1" applyFont="1" applyFill="1" applyBorder="1"/>
    <xf numFmtId="4" fontId="0" fillId="14" borderId="23" xfId="0" applyNumberFormat="1" applyFill="1" applyBorder="1"/>
    <xf numFmtId="0" fontId="29" fillId="2" borderId="23" xfId="0" applyFont="1" applyFill="1" applyBorder="1" applyAlignment="1">
      <alignment horizontal="right"/>
    </xf>
    <xf numFmtId="4" fontId="0" fillId="5" borderId="23" xfId="0" applyNumberFormat="1" applyFill="1" applyBorder="1"/>
    <xf numFmtId="4" fontId="0" fillId="6" borderId="23" xfId="0" applyNumberFormat="1" applyFill="1" applyBorder="1"/>
    <xf numFmtId="4" fontId="29" fillId="2" borderId="23" xfId="0" applyNumberFormat="1" applyFont="1" applyFill="1" applyBorder="1"/>
    <xf numFmtId="4" fontId="0" fillId="10" borderId="23" xfId="0" applyNumberFormat="1" applyFill="1" applyBorder="1"/>
    <xf numFmtId="4" fontId="0" fillId="11" borderId="23" xfId="0" applyNumberFormat="1" applyFill="1" applyBorder="1"/>
    <xf numFmtId="4" fontId="0" fillId="12" borderId="23" xfId="0" applyNumberFormat="1" applyFill="1" applyBorder="1"/>
    <xf numFmtId="4" fontId="29" fillId="0" borderId="23" xfId="0" applyNumberFormat="1" applyFont="1" applyBorder="1"/>
    <xf numFmtId="0" fontId="32" fillId="0" borderId="23" xfId="0" applyFont="1" applyBorder="1" applyAlignment="1">
      <alignment horizontal="right"/>
    </xf>
    <xf numFmtId="4" fontId="0" fillId="13" borderId="22" xfId="0" applyNumberFormat="1" applyFill="1" applyBorder="1"/>
    <xf numFmtId="4" fontId="30" fillId="14" borderId="22" xfId="0" applyNumberFormat="1" applyFont="1" applyFill="1" applyBorder="1"/>
    <xf numFmtId="4" fontId="0" fillId="15" borderId="22" xfId="0" applyNumberFormat="1" applyFill="1" applyBorder="1"/>
    <xf numFmtId="4" fontId="0" fillId="4" borderId="23" xfId="0" applyNumberFormat="1" applyFill="1" applyBorder="1"/>
    <xf numFmtId="4" fontId="0" fillId="16" borderId="23" xfId="0" applyNumberFormat="1" applyFill="1" applyBorder="1"/>
    <xf numFmtId="4" fontId="0" fillId="17" borderId="23" xfId="0" applyNumberFormat="1" applyFill="1" applyBorder="1"/>
    <xf numFmtId="4" fontId="0" fillId="18" borderId="23" xfId="0" applyNumberFormat="1" applyFill="1" applyBorder="1"/>
    <xf numFmtId="4" fontId="0" fillId="19" borderId="23" xfId="0" applyNumberFormat="1" applyFill="1" applyBorder="1"/>
    <xf numFmtId="4" fontId="0" fillId="20" borderId="23" xfId="0" applyNumberFormat="1" applyFill="1" applyBorder="1"/>
    <xf numFmtId="4" fontId="0" fillId="21" borderId="23" xfId="0" applyNumberFormat="1" applyFill="1" applyBorder="1"/>
    <xf numFmtId="4" fontId="0" fillId="22" borderId="23" xfId="0" applyNumberFormat="1" applyFill="1" applyBorder="1"/>
    <xf numFmtId="4" fontId="0" fillId="23" borderId="22" xfId="0" applyNumberFormat="1" applyFill="1" applyBorder="1"/>
    <xf numFmtId="4" fontId="0" fillId="25" borderId="22" xfId="0" applyNumberFormat="1" applyFill="1" applyBorder="1"/>
    <xf numFmtId="4" fontId="0" fillId="5" borderId="22" xfId="0" applyNumberFormat="1" applyFill="1" applyBorder="1"/>
    <xf numFmtId="4" fontId="0" fillId="0" borderId="23" xfId="0" applyNumberFormat="1" applyBorder="1" applyAlignment="1">
      <alignment wrapText="1"/>
    </xf>
    <xf numFmtId="4" fontId="29" fillId="0" borderId="23" xfId="0" applyNumberFormat="1" applyFont="1" applyBorder="1" applyAlignment="1">
      <alignment wrapText="1"/>
    </xf>
    <xf numFmtId="0" fontId="32" fillId="2" borderId="23" xfId="0" applyFont="1" applyFill="1" applyBorder="1" applyAlignment="1">
      <alignment horizontal="right"/>
    </xf>
    <xf numFmtId="4" fontId="0" fillId="2" borderId="23" xfId="0" applyNumberFormat="1" applyFill="1" applyBorder="1" applyAlignment="1">
      <alignment horizontal="right" vertical="center" wrapText="1"/>
    </xf>
    <xf numFmtId="4" fontId="0" fillId="2" borderId="23" xfId="0" applyNumberFormat="1" applyFill="1" applyBorder="1" applyAlignment="1">
      <alignment vertical="center" wrapText="1"/>
    </xf>
    <xf numFmtId="4" fontId="29" fillId="2" borderId="23" xfId="0" applyNumberFormat="1" applyFont="1" applyFill="1" applyBorder="1" applyAlignment="1">
      <alignment vertical="center" wrapText="1"/>
    </xf>
    <xf numFmtId="4" fontId="0" fillId="2" borderId="23" xfId="0" applyNumberFormat="1" applyFill="1" applyBorder="1"/>
    <xf numFmtId="4" fontId="0" fillId="35" borderId="22" xfId="0" applyNumberFormat="1" applyFill="1" applyBorder="1"/>
    <xf numFmtId="4" fontId="0" fillId="3" borderId="22" xfId="0" applyNumberFormat="1" applyFill="1" applyBorder="1"/>
    <xf numFmtId="4" fontId="0" fillId="39" borderId="22" xfId="0" applyNumberFormat="1" applyFill="1" applyBorder="1"/>
    <xf numFmtId="0" fontId="0" fillId="2" borderId="23" xfId="0" applyFill="1" applyBorder="1"/>
    <xf numFmtId="4" fontId="0" fillId="29" borderId="23" xfId="0" applyNumberFormat="1" applyFill="1" applyBorder="1"/>
    <xf numFmtId="4" fontId="0" fillId="30" borderId="23" xfId="0" applyNumberFormat="1" applyFill="1" applyBorder="1"/>
    <xf numFmtId="4" fontId="29" fillId="33" borderId="23" xfId="0" applyNumberFormat="1" applyFont="1" applyFill="1" applyBorder="1"/>
    <xf numFmtId="0" fontId="0" fillId="0" borderId="12" xfId="0" applyBorder="1"/>
    <xf numFmtId="4" fontId="0" fillId="40" borderId="22" xfId="0" applyNumberFormat="1" applyFill="1" applyBorder="1"/>
    <xf numFmtId="4" fontId="0" fillId="33" borderId="22" xfId="0" applyNumberFormat="1" applyFill="1" applyBorder="1"/>
    <xf numFmtId="4" fontId="0" fillId="7" borderId="22" xfId="0" applyNumberFormat="1" applyFill="1" applyBorder="1"/>
    <xf numFmtId="4" fontId="25" fillId="0" borderId="24" xfId="0" applyNumberFormat="1" applyFont="1" applyBorder="1"/>
    <xf numFmtId="0" fontId="25" fillId="2" borderId="22" xfId="0" applyFont="1" applyFill="1" applyBorder="1" applyAlignment="1">
      <alignment horizontal="right"/>
    </xf>
    <xf numFmtId="4" fontId="0" fillId="43" borderId="22" xfId="0" applyNumberFormat="1" applyFill="1" applyBorder="1"/>
    <xf numFmtId="4" fontId="0" fillId="8" borderId="22" xfId="0" applyNumberFormat="1" applyFill="1" applyBorder="1"/>
    <xf numFmtId="4" fontId="25" fillId="2" borderId="24" xfId="0" applyNumberFormat="1" applyFont="1" applyFill="1" applyBorder="1"/>
    <xf numFmtId="4" fontId="30" fillId="3" borderId="22" xfId="0" applyNumberFormat="1" applyFont="1" applyFill="1" applyBorder="1"/>
    <xf numFmtId="4" fontId="30" fillId="13" borderId="22" xfId="0" applyNumberFormat="1" applyFont="1" applyFill="1" applyBorder="1"/>
    <xf numFmtId="4" fontId="30" fillId="35" borderId="22" xfId="0" applyNumberFormat="1" applyFont="1" applyFill="1" applyBorder="1"/>
    <xf numFmtId="4" fontId="30" fillId="22" borderId="22" xfId="0" applyNumberFormat="1" applyFont="1" applyFill="1" applyBorder="1"/>
    <xf numFmtId="4" fontId="30" fillId="40" borderId="22" xfId="0" applyNumberFormat="1" applyFont="1" applyFill="1" applyBorder="1"/>
    <xf numFmtId="4" fontId="30" fillId="21" borderId="22" xfId="0" applyNumberFormat="1" applyFont="1" applyFill="1" applyBorder="1"/>
    <xf numFmtId="4" fontId="30" fillId="2" borderId="22" xfId="0" applyNumberFormat="1" applyFont="1" applyFill="1" applyBorder="1"/>
    <xf numFmtId="4" fontId="30" fillId="44" borderId="22" xfId="0" applyNumberFormat="1" applyFont="1" applyFill="1" applyBorder="1"/>
    <xf numFmtId="4" fontId="30" fillId="45" borderId="22" xfId="0" applyNumberFormat="1" applyFont="1" applyFill="1" applyBorder="1"/>
    <xf numFmtId="4" fontId="30" fillId="20" borderId="22" xfId="0" applyNumberFormat="1" applyFont="1" applyFill="1" applyBorder="1"/>
    <xf numFmtId="4" fontId="30" fillId="46" borderId="22" xfId="0" applyNumberFormat="1" applyFont="1" applyFill="1" applyBorder="1"/>
    <xf numFmtId="4" fontId="30" fillId="6" borderId="22" xfId="0" applyNumberFormat="1" applyFont="1" applyFill="1" applyBorder="1"/>
    <xf numFmtId="4" fontId="30" fillId="25" borderId="22" xfId="0" applyNumberFormat="1" applyFont="1" applyFill="1" applyBorder="1"/>
    <xf numFmtId="4" fontId="30" fillId="7" borderId="22" xfId="0" applyNumberFormat="1" applyFont="1" applyFill="1" applyBorder="1"/>
    <xf numFmtId="4" fontId="30" fillId="23" borderId="22" xfId="0" applyNumberFormat="1" applyFont="1" applyFill="1" applyBorder="1"/>
    <xf numFmtId="4" fontId="0" fillId="14" borderId="22" xfId="0" applyNumberFormat="1" applyFill="1" applyBorder="1"/>
    <xf numFmtId="0" fontId="0" fillId="0" borderId="22" xfId="0" applyBorder="1" applyAlignment="1">
      <alignment horizontal="center"/>
    </xf>
    <xf numFmtId="0" fontId="29" fillId="2" borderId="22" xfId="0" applyFont="1" applyFill="1" applyBorder="1" applyAlignment="1">
      <alignment horizontal="right"/>
    </xf>
    <xf numFmtId="4" fontId="0" fillId="6" borderId="22" xfId="0" applyNumberFormat="1" applyFill="1" applyBorder="1"/>
    <xf numFmtId="4" fontId="29" fillId="2" borderId="22" xfId="0" applyNumberFormat="1" applyFont="1" applyFill="1" applyBorder="1"/>
    <xf numFmtId="4" fontId="0" fillId="9" borderId="22" xfId="0" applyNumberFormat="1" applyFill="1" applyBorder="1"/>
    <xf numFmtId="4" fontId="0" fillId="10" borderId="22" xfId="0" applyNumberFormat="1" applyFill="1" applyBorder="1"/>
    <xf numFmtId="4" fontId="0" fillId="11" borderId="22" xfId="0" applyNumberFormat="1" applyFill="1" applyBorder="1"/>
    <xf numFmtId="4" fontId="0" fillId="12" borderId="22" xfId="0" applyNumberFormat="1" applyFill="1" applyBorder="1"/>
    <xf numFmtId="4" fontId="29" fillId="0" borderId="22" xfId="0" applyNumberFormat="1" applyFont="1" applyBorder="1"/>
    <xf numFmtId="4" fontId="35" fillId="0" borderId="22" xfId="0" applyNumberFormat="1" applyFont="1" applyBorder="1"/>
    <xf numFmtId="4" fontId="0" fillId="0" borderId="22" xfId="0" applyNumberFormat="1" applyBorder="1"/>
    <xf numFmtId="0" fontId="32" fillId="0" borderId="22" xfId="0" applyFont="1" applyBorder="1" applyAlignment="1">
      <alignment horizontal="right"/>
    </xf>
    <xf numFmtId="4" fontId="30" fillId="15" borderId="22" xfId="0" applyNumberFormat="1" applyFont="1" applyFill="1" applyBorder="1"/>
    <xf numFmtId="4" fontId="30" fillId="4" borderId="22" xfId="0" applyNumberFormat="1" applyFont="1" applyFill="1" applyBorder="1"/>
    <xf numFmtId="4" fontId="30" fillId="16" borderId="22" xfId="0" applyNumberFormat="1" applyFont="1" applyFill="1" applyBorder="1"/>
    <xf numFmtId="4" fontId="30" fillId="17" borderId="22" xfId="0" applyNumberFormat="1" applyFont="1" applyFill="1" applyBorder="1"/>
    <xf numFmtId="4" fontId="30" fillId="18" borderId="22" xfId="0" applyNumberFormat="1" applyFont="1" applyFill="1" applyBorder="1"/>
    <xf numFmtId="4" fontId="30" fillId="19" borderId="22" xfId="0" applyNumberFormat="1" applyFont="1" applyFill="1" applyBorder="1"/>
    <xf numFmtId="4" fontId="30" fillId="24" borderId="22" xfId="0" applyNumberFormat="1" applyFont="1" applyFill="1" applyBorder="1"/>
    <xf numFmtId="4" fontId="0" fillId="0" borderId="22" xfId="0" applyNumberFormat="1" applyBorder="1" applyAlignment="1">
      <alignment wrapText="1"/>
    </xf>
    <xf numFmtId="4" fontId="29" fillId="0" borderId="22" xfId="0" applyNumberFormat="1" applyFont="1" applyBorder="1" applyAlignment="1">
      <alignment wrapText="1"/>
    </xf>
    <xf numFmtId="0" fontId="32" fillId="2" borderId="22" xfId="0" applyFont="1" applyFill="1" applyBorder="1" applyAlignment="1">
      <alignment horizontal="right"/>
    </xf>
    <xf numFmtId="4" fontId="0" fillId="2" borderId="22" xfId="0" applyNumberFormat="1" applyFill="1" applyBorder="1" applyAlignment="1">
      <alignment horizontal="right" vertical="center" wrapText="1"/>
    </xf>
    <xf numFmtId="4" fontId="0" fillId="2" borderId="22" xfId="0" applyNumberFormat="1" applyFill="1" applyBorder="1" applyAlignment="1">
      <alignment vertical="center" wrapText="1"/>
    </xf>
    <xf numFmtId="4" fontId="29" fillId="2" borderId="22" xfId="0" applyNumberFormat="1" applyFont="1" applyFill="1" applyBorder="1" applyAlignment="1">
      <alignment vertical="center" wrapText="1"/>
    </xf>
    <xf numFmtId="4" fontId="0" fillId="2" borderId="22" xfId="0" applyNumberFormat="1" applyFill="1" applyBorder="1"/>
    <xf numFmtId="4" fontId="0" fillId="29" borderId="22" xfId="0" applyNumberFormat="1" applyFill="1" applyBorder="1"/>
    <xf numFmtId="4" fontId="0" fillId="30" borderId="22" xfId="0" applyNumberFormat="1" applyFill="1" applyBorder="1"/>
    <xf numFmtId="4" fontId="0" fillId="32" borderId="22" xfId="0" applyNumberFormat="1" applyFill="1" applyBorder="1"/>
    <xf numFmtId="4" fontId="0" fillId="28" borderId="22" xfId="0" applyNumberFormat="1" applyFill="1" applyBorder="1"/>
    <xf numFmtId="4" fontId="25" fillId="2" borderId="22" xfId="0" applyNumberFormat="1" applyFont="1" applyFill="1" applyBorder="1"/>
    <xf numFmtId="4" fontId="25" fillId="33" borderId="22" xfId="0" applyNumberFormat="1" applyFont="1" applyFill="1" applyBorder="1"/>
    <xf numFmtId="0" fontId="0" fillId="0" borderId="42" xfId="0" applyBorder="1"/>
    <xf numFmtId="4" fontId="0" fillId="15" borderId="0" xfId="0" applyNumberFormat="1" applyFill="1" applyAlignment="1">
      <alignment horizontal="right"/>
    </xf>
    <xf numFmtId="0" fontId="25" fillId="2" borderId="0" xfId="0" applyFont="1" applyFill="1" applyAlignment="1">
      <alignment horizontal="right"/>
    </xf>
    <xf numFmtId="4" fontId="30" fillId="3" borderId="0" xfId="0" applyNumberFormat="1" applyFont="1" applyFill="1"/>
    <xf numFmtId="4" fontId="30" fillId="13" borderId="0" xfId="0" applyNumberFormat="1" applyFont="1" applyFill="1"/>
    <xf numFmtId="4" fontId="30" fillId="35" borderId="0" xfId="0" applyNumberFormat="1" applyFont="1" applyFill="1"/>
    <xf numFmtId="4" fontId="30" fillId="22" borderId="0" xfId="0" applyNumberFormat="1" applyFont="1" applyFill="1"/>
    <xf numFmtId="4" fontId="30" fillId="40" borderId="0" xfId="0" applyNumberFormat="1" applyFont="1" applyFill="1"/>
    <xf numFmtId="4" fontId="30" fillId="21" borderId="0" xfId="0" applyNumberFormat="1" applyFont="1" applyFill="1"/>
    <xf numFmtId="4" fontId="30" fillId="2" borderId="0" xfId="0" applyNumberFormat="1" applyFont="1" applyFill="1"/>
    <xf numFmtId="4" fontId="30" fillId="8" borderId="0" xfId="0" applyNumberFormat="1" applyFont="1" applyFill="1"/>
    <xf numFmtId="4" fontId="30" fillId="44" borderId="0" xfId="0" applyNumberFormat="1" applyFont="1" applyFill="1"/>
    <xf numFmtId="4" fontId="30" fillId="45" borderId="0" xfId="0" applyNumberFormat="1" applyFont="1" applyFill="1"/>
    <xf numFmtId="4" fontId="30" fillId="20" borderId="0" xfId="0" applyNumberFormat="1" applyFont="1" applyFill="1"/>
    <xf numFmtId="4" fontId="30" fillId="46" borderId="0" xfId="0" applyNumberFormat="1" applyFont="1" applyFill="1"/>
    <xf numFmtId="4" fontId="30" fillId="14" borderId="0" xfId="0" applyNumberFormat="1" applyFont="1" applyFill="1"/>
    <xf numFmtId="4" fontId="30" fillId="25" borderId="0" xfId="0" applyNumberFormat="1" applyFont="1" applyFill="1"/>
    <xf numFmtId="4" fontId="30" fillId="7" borderId="0" xfId="0" applyNumberFormat="1" applyFont="1" applyFill="1"/>
    <xf numFmtId="4" fontId="30" fillId="23" borderId="0" xfId="0" applyNumberFormat="1" applyFont="1" applyFill="1"/>
    <xf numFmtId="0" fontId="0" fillId="0" borderId="0" xfId="0" applyAlignment="1">
      <alignment horizontal="center"/>
    </xf>
    <xf numFmtId="0" fontId="29" fillId="2" borderId="0" xfId="0" applyFont="1" applyFill="1" applyAlignment="1">
      <alignment horizontal="right"/>
    </xf>
    <xf numFmtId="4" fontId="29" fillId="2" borderId="0" xfId="0" applyNumberFormat="1" applyFont="1" applyFill="1"/>
    <xf numFmtId="4" fontId="35" fillId="0" borderId="0" xfId="0" applyNumberFormat="1" applyFont="1"/>
    <xf numFmtId="0" fontId="32" fillId="0" borderId="0" xfId="0" applyFont="1" applyAlignment="1">
      <alignment horizontal="right"/>
    </xf>
    <xf numFmtId="4" fontId="30" fillId="15" borderId="0" xfId="0" applyNumberFormat="1" applyFont="1" applyFill="1"/>
    <xf numFmtId="4" fontId="30" fillId="4" borderId="0" xfId="0" applyNumberFormat="1" applyFont="1" applyFill="1"/>
    <xf numFmtId="4" fontId="30" fillId="16" borderId="0" xfId="0" applyNumberFormat="1" applyFont="1" applyFill="1"/>
    <xf numFmtId="4" fontId="30" fillId="17" borderId="0" xfId="0" applyNumberFormat="1" applyFont="1" applyFill="1"/>
    <xf numFmtId="4" fontId="30" fillId="18" borderId="0" xfId="0" applyNumberFormat="1" applyFont="1" applyFill="1"/>
    <xf numFmtId="4" fontId="30" fillId="19" borderId="0" xfId="0" applyNumberFormat="1" applyFont="1" applyFill="1"/>
    <xf numFmtId="4" fontId="30" fillId="24" borderId="0" xfId="0" applyNumberFormat="1" applyFont="1" applyFill="1"/>
    <xf numFmtId="4" fontId="0" fillId="0" borderId="0" xfId="0" applyNumberFormat="1" applyAlignment="1">
      <alignment wrapText="1"/>
    </xf>
    <xf numFmtId="4" fontId="29" fillId="0" borderId="0" xfId="0" applyNumberFormat="1" applyFont="1" applyAlignment="1">
      <alignment wrapText="1"/>
    </xf>
    <xf numFmtId="0" fontId="32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right" vertical="center" wrapText="1"/>
    </xf>
    <xf numFmtId="4" fontId="0" fillId="2" borderId="0" xfId="0" applyNumberFormat="1" applyFill="1" applyAlignment="1">
      <alignment vertical="center" wrapText="1"/>
    </xf>
    <xf numFmtId="4" fontId="29" fillId="2" borderId="0" xfId="0" applyNumberFormat="1" applyFont="1" applyFill="1" applyAlignment="1">
      <alignment vertical="center" wrapText="1"/>
    </xf>
    <xf numFmtId="4" fontId="0" fillId="2" borderId="0" xfId="0" applyNumberFormat="1" applyFill="1"/>
    <xf numFmtId="4" fontId="0" fillId="29" borderId="0" xfId="0" applyNumberFormat="1" applyFill="1"/>
    <xf numFmtId="4" fontId="0" fillId="30" borderId="0" xfId="0" applyNumberFormat="1" applyFill="1"/>
    <xf numFmtId="4" fontId="25" fillId="2" borderId="0" xfId="0" applyNumberFormat="1" applyFont="1" applyFill="1"/>
    <xf numFmtId="4" fontId="25" fillId="33" borderId="0" xfId="0" applyNumberFormat="1" applyFont="1" applyFill="1"/>
    <xf numFmtId="0" fontId="56" fillId="0" borderId="41" xfId="0" applyFont="1" applyBorder="1"/>
    <xf numFmtId="0" fontId="56" fillId="0" borderId="42" xfId="0" applyFont="1" applyBorder="1"/>
    <xf numFmtId="0" fontId="56" fillId="0" borderId="51" xfId="0" applyFont="1" applyBorder="1"/>
    <xf numFmtId="0" fontId="56" fillId="0" borderId="43" xfId="0" applyFont="1" applyBorder="1"/>
    <xf numFmtId="0" fontId="56" fillId="0" borderId="52" xfId="0" applyFont="1" applyBorder="1"/>
    <xf numFmtId="0" fontId="56" fillId="0" borderId="53" xfId="0" applyFont="1" applyBorder="1"/>
    <xf numFmtId="0" fontId="56" fillId="0" borderId="14" xfId="0" applyFont="1" applyBorder="1"/>
    <xf numFmtId="43" fontId="56" fillId="0" borderId="14" xfId="4" applyFont="1" applyBorder="1"/>
    <xf numFmtId="0" fontId="56" fillId="0" borderId="48" xfId="0" applyFont="1" applyBorder="1"/>
    <xf numFmtId="0" fontId="79" fillId="0" borderId="0" xfId="0" applyFont="1"/>
    <xf numFmtId="0" fontId="0" fillId="0" borderId="41" xfId="0" applyBorder="1"/>
    <xf numFmtId="0" fontId="0" fillId="0" borderId="51" xfId="0" applyBorder="1"/>
    <xf numFmtId="0" fontId="0" fillId="0" borderId="43" xfId="0" applyBorder="1"/>
    <xf numFmtId="0" fontId="0" fillId="0" borderId="52" xfId="0" applyBorder="1"/>
    <xf numFmtId="4" fontId="0" fillId="0" borderId="52" xfId="0" applyNumberFormat="1" applyBorder="1"/>
    <xf numFmtId="4" fontId="56" fillId="3" borderId="14" xfId="0" applyNumberFormat="1" applyFont="1" applyFill="1" applyBorder="1"/>
    <xf numFmtId="4" fontId="56" fillId="3" borderId="48" xfId="0" applyNumberFormat="1" applyFont="1" applyFill="1" applyBorder="1"/>
    <xf numFmtId="0" fontId="79" fillId="0" borderId="53" xfId="0" applyFont="1" applyBorder="1"/>
    <xf numFmtId="4" fontId="79" fillId="0" borderId="14" xfId="0" applyNumberFormat="1" applyFont="1" applyBorder="1"/>
    <xf numFmtId="4" fontId="79" fillId="0" borderId="48" xfId="0" applyNumberFormat="1" applyFont="1" applyBorder="1"/>
    <xf numFmtId="0" fontId="0" fillId="0" borderId="53" xfId="0" applyBorder="1"/>
    <xf numFmtId="0" fontId="0" fillId="0" borderId="14" xfId="0" applyBorder="1"/>
    <xf numFmtId="4" fontId="56" fillId="0" borderId="42" xfId="0" applyNumberFormat="1" applyFont="1" applyBorder="1"/>
    <xf numFmtId="4" fontId="56" fillId="0" borderId="51" xfId="0" applyNumberFormat="1" applyFont="1" applyBorder="1"/>
    <xf numFmtId="4" fontId="56" fillId="0" borderId="52" xfId="0" applyNumberFormat="1" applyFont="1" applyBorder="1"/>
    <xf numFmtId="4" fontId="56" fillId="0" borderId="14" xfId="0" applyNumberFormat="1" applyFont="1" applyBorder="1"/>
    <xf numFmtId="4" fontId="56" fillId="0" borderId="48" xfId="0" applyNumberFormat="1" applyFont="1" applyBorder="1"/>
    <xf numFmtId="0" fontId="71" fillId="0" borderId="43" xfId="0" applyFont="1" applyBorder="1"/>
    <xf numFmtId="4" fontId="71" fillId="0" borderId="0" xfId="0" applyNumberFormat="1" applyFont="1"/>
    <xf numFmtId="4" fontId="71" fillId="0" borderId="52" xfId="0" applyNumberFormat="1" applyFont="1" applyBorder="1"/>
    <xf numFmtId="0" fontId="71" fillId="0" borderId="0" xfId="0" applyFont="1"/>
    <xf numFmtId="0" fontId="56" fillId="3" borderId="43" xfId="0" applyFont="1" applyFill="1" applyBorder="1"/>
    <xf numFmtId="4" fontId="56" fillId="3" borderId="0" xfId="0" applyNumberFormat="1" applyFont="1" applyFill="1"/>
    <xf numFmtId="0" fontId="56" fillId="3" borderId="0" xfId="0" applyFont="1" applyFill="1"/>
    <xf numFmtId="9" fontId="56" fillId="3" borderId="0" xfId="0" applyNumberFormat="1" applyFont="1" applyFill="1"/>
    <xf numFmtId="0" fontId="56" fillId="3" borderId="52" xfId="0" applyFont="1" applyFill="1" applyBorder="1"/>
    <xf numFmtId="0" fontId="56" fillId="3" borderId="41" xfId="0" applyFont="1" applyFill="1" applyBorder="1"/>
    <xf numFmtId="4" fontId="56" fillId="3" borderId="42" xfId="0" applyNumberFormat="1" applyFont="1" applyFill="1" applyBorder="1"/>
    <xf numFmtId="4" fontId="56" fillId="3" borderId="51" xfId="0" applyNumberFormat="1" applyFont="1" applyFill="1" applyBorder="1"/>
    <xf numFmtId="0" fontId="56" fillId="3" borderId="53" xfId="0" applyFont="1" applyFill="1" applyBorder="1"/>
    <xf numFmtId="0" fontId="56" fillId="0" borderId="0" xfId="0" applyFont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45" xfId="0" applyFont="1" applyBorder="1" applyAlignment="1">
      <alignment horizontal="center" wrapText="1"/>
    </xf>
    <xf numFmtId="0" fontId="25" fillId="2" borderId="52" xfId="0" applyFont="1" applyFill="1" applyBorder="1" applyAlignment="1">
      <alignment horizontal="right"/>
    </xf>
    <xf numFmtId="4" fontId="56" fillId="3" borderId="52" xfId="0" applyNumberFormat="1" applyFont="1" applyFill="1" applyBorder="1"/>
    <xf numFmtId="0" fontId="25" fillId="2" borderId="42" xfId="0" applyFont="1" applyFill="1" applyBorder="1" applyAlignment="1">
      <alignment horizontal="right"/>
    </xf>
    <xf numFmtId="0" fontId="25" fillId="2" borderId="55" xfId="0" applyFont="1" applyFill="1" applyBorder="1" applyAlignment="1">
      <alignment horizontal="right"/>
    </xf>
    <xf numFmtId="0" fontId="56" fillId="0" borderId="56" xfId="0" applyFont="1" applyBorder="1" applyAlignment="1">
      <alignment horizontal="center" wrapText="1"/>
    </xf>
    <xf numFmtId="0" fontId="56" fillId="0" borderId="42" xfId="0" applyFont="1" applyBorder="1" applyAlignment="1">
      <alignment horizontal="center" wrapText="1"/>
    </xf>
    <xf numFmtId="0" fontId="56" fillId="0" borderId="51" xfId="0" applyFont="1" applyBorder="1" applyAlignment="1">
      <alignment horizontal="center" wrapText="1"/>
    </xf>
    <xf numFmtId="0" fontId="0" fillId="0" borderId="57" xfId="0" applyBorder="1"/>
    <xf numFmtId="0" fontId="0" fillId="0" borderId="58" xfId="0" applyBorder="1"/>
    <xf numFmtId="0" fontId="73" fillId="0" borderId="43" xfId="0" applyFont="1" applyBorder="1"/>
    <xf numFmtId="0" fontId="0" fillId="13" borderId="43" xfId="0" applyFill="1" applyBorder="1"/>
    <xf numFmtId="4" fontId="0" fillId="13" borderId="52" xfId="0" applyNumberFormat="1" applyFill="1" applyBorder="1"/>
    <xf numFmtId="0" fontId="0" fillId="35" borderId="43" xfId="0" applyFill="1" applyBorder="1"/>
    <xf numFmtId="4" fontId="0" fillId="35" borderId="52" xfId="0" applyNumberFormat="1" applyFill="1" applyBorder="1"/>
    <xf numFmtId="0" fontId="0" fillId="40" borderId="43" xfId="0" applyFill="1" applyBorder="1"/>
    <xf numFmtId="4" fontId="0" fillId="40" borderId="52" xfId="0" applyNumberFormat="1" applyFill="1" applyBorder="1"/>
    <xf numFmtId="0" fontId="0" fillId="39" borderId="43" xfId="0" applyFill="1" applyBorder="1"/>
    <xf numFmtId="4" fontId="0" fillId="39" borderId="52" xfId="0" applyNumberFormat="1" applyFill="1" applyBorder="1"/>
    <xf numFmtId="0" fontId="0" fillId="25" borderId="43" xfId="0" applyFill="1" applyBorder="1"/>
    <xf numFmtId="4" fontId="0" fillId="25" borderId="52" xfId="0" applyNumberFormat="1" applyFill="1" applyBorder="1"/>
    <xf numFmtId="0" fontId="0" fillId="3" borderId="43" xfId="0" applyFill="1" applyBorder="1"/>
    <xf numFmtId="4" fontId="0" fillId="3" borderId="52" xfId="0" applyNumberFormat="1" applyFill="1" applyBorder="1"/>
    <xf numFmtId="0" fontId="0" fillId="15" borderId="43" xfId="0" applyFill="1" applyBorder="1"/>
    <xf numFmtId="0" fontId="0" fillId="33" borderId="43" xfId="0" applyFill="1" applyBorder="1"/>
    <xf numFmtId="4" fontId="0" fillId="33" borderId="52" xfId="0" applyNumberFormat="1" applyFill="1" applyBorder="1"/>
    <xf numFmtId="0" fontId="0" fillId="7" borderId="43" xfId="0" applyFill="1" applyBorder="1"/>
    <xf numFmtId="4" fontId="0" fillId="7" borderId="52" xfId="0" applyNumberFormat="1" applyFill="1" applyBorder="1"/>
    <xf numFmtId="0" fontId="25" fillId="2" borderId="57" xfId="0" applyFont="1" applyFill="1" applyBorder="1"/>
    <xf numFmtId="4" fontId="25" fillId="0" borderId="58" xfId="0" applyNumberFormat="1" applyFont="1" applyBorder="1"/>
    <xf numFmtId="0" fontId="29" fillId="0" borderId="43" xfId="0" applyFont="1" applyBorder="1"/>
    <xf numFmtId="4" fontId="0" fillId="15" borderId="52" xfId="0" applyNumberFormat="1" applyFill="1" applyBorder="1"/>
    <xf numFmtId="0" fontId="0" fillId="43" borderId="43" xfId="0" applyFill="1" applyBorder="1"/>
    <xf numFmtId="4" fontId="0" fillId="43" borderId="52" xfId="0" applyNumberFormat="1" applyFill="1" applyBorder="1"/>
    <xf numFmtId="0" fontId="0" fillId="8" borderId="43" xfId="0" applyFill="1" applyBorder="1"/>
    <xf numFmtId="4" fontId="0" fillId="8" borderId="52" xfId="0" applyNumberFormat="1" applyFill="1" applyBorder="1"/>
    <xf numFmtId="0" fontId="0" fillId="23" borderId="43" xfId="0" applyFill="1" applyBorder="1"/>
    <xf numFmtId="4" fontId="0" fillId="23" borderId="52" xfId="0" applyNumberFormat="1" applyFill="1" applyBorder="1"/>
    <xf numFmtId="4" fontId="25" fillId="2" borderId="58" xfId="0" applyNumberFormat="1" applyFont="1" applyFill="1" applyBorder="1"/>
    <xf numFmtId="4" fontId="30" fillId="3" borderId="52" xfId="0" applyNumberFormat="1" applyFont="1" applyFill="1" applyBorder="1"/>
    <xf numFmtId="4" fontId="30" fillId="13" borderId="52" xfId="0" applyNumberFormat="1" applyFont="1" applyFill="1" applyBorder="1"/>
    <xf numFmtId="4" fontId="30" fillId="35" borderId="52" xfId="0" applyNumberFormat="1" applyFont="1" applyFill="1" applyBorder="1"/>
    <xf numFmtId="0" fontId="0" fillId="22" borderId="43" xfId="0" applyFill="1" applyBorder="1"/>
    <xf numFmtId="4" fontId="30" fillId="22" borderId="52" xfId="0" applyNumberFormat="1" applyFont="1" applyFill="1" applyBorder="1"/>
    <xf numFmtId="4" fontId="30" fillId="40" borderId="52" xfId="0" applyNumberFormat="1" applyFont="1" applyFill="1" applyBorder="1"/>
    <xf numFmtId="0" fontId="0" fillId="21" borderId="43" xfId="0" applyFill="1" applyBorder="1"/>
    <xf numFmtId="4" fontId="30" fillId="21" borderId="52" xfId="0" applyNumberFormat="1" applyFont="1" applyFill="1" applyBorder="1"/>
    <xf numFmtId="0" fontId="75" fillId="2" borderId="43" xfId="0" applyFont="1" applyFill="1" applyBorder="1"/>
    <xf numFmtId="4" fontId="75" fillId="2" borderId="0" xfId="0" applyNumberFormat="1" applyFont="1" applyFill="1"/>
    <xf numFmtId="4" fontId="30" fillId="2" borderId="52" xfId="0" applyNumberFormat="1" applyFont="1" applyFill="1" applyBorder="1"/>
    <xf numFmtId="0" fontId="0" fillId="9" borderId="43" xfId="0" applyFill="1" applyBorder="1"/>
    <xf numFmtId="4" fontId="30" fillId="44" borderId="52" xfId="0" applyNumberFormat="1" applyFont="1" applyFill="1" applyBorder="1"/>
    <xf numFmtId="4" fontId="30" fillId="45" borderId="52" xfId="0" applyNumberFormat="1" applyFont="1" applyFill="1" applyBorder="1"/>
    <xf numFmtId="4" fontId="30" fillId="20" borderId="52" xfId="0" applyNumberFormat="1" applyFont="1" applyFill="1" applyBorder="1"/>
    <xf numFmtId="0" fontId="0" fillId="46" borderId="43" xfId="0" applyFill="1" applyBorder="1"/>
    <xf numFmtId="4" fontId="30" fillId="46" borderId="52" xfId="0" applyNumberFormat="1" applyFont="1" applyFill="1" applyBorder="1"/>
    <xf numFmtId="0" fontId="0" fillId="6" borderId="43" xfId="0" applyFill="1" applyBorder="1"/>
    <xf numFmtId="4" fontId="30" fillId="6" borderId="52" xfId="0" applyNumberFormat="1" applyFont="1" applyFill="1" applyBorder="1"/>
    <xf numFmtId="0" fontId="0" fillId="14" borderId="43" xfId="0" applyFill="1" applyBorder="1"/>
    <xf numFmtId="4" fontId="30" fillId="14" borderId="52" xfId="0" applyNumberFormat="1" applyFont="1" applyFill="1" applyBorder="1"/>
    <xf numFmtId="4" fontId="30" fillId="25" borderId="52" xfId="0" applyNumberFormat="1" applyFont="1" applyFill="1" applyBorder="1"/>
    <xf numFmtId="4" fontId="30" fillId="7" borderId="52" xfId="0" applyNumberFormat="1" applyFont="1" applyFill="1" applyBorder="1"/>
    <xf numFmtId="4" fontId="30" fillId="23" borderId="52" xfId="0" applyNumberFormat="1" applyFont="1" applyFill="1" applyBorder="1"/>
    <xf numFmtId="4" fontId="0" fillId="14" borderId="52" xfId="0" applyNumberFormat="1" applyFill="1" applyBorder="1"/>
    <xf numFmtId="0" fontId="0" fillId="0" borderId="52" xfId="0" applyBorder="1" applyAlignment="1">
      <alignment horizontal="center"/>
    </xf>
    <xf numFmtId="0" fontId="29" fillId="2" borderId="43" xfId="0" applyFont="1" applyFill="1" applyBorder="1"/>
    <xf numFmtId="0" fontId="29" fillId="2" borderId="52" xfId="0" applyFont="1" applyFill="1" applyBorder="1" applyAlignment="1">
      <alignment horizontal="right"/>
    </xf>
    <xf numFmtId="0" fontId="0" fillId="5" borderId="43" xfId="0" applyFill="1" applyBorder="1"/>
    <xf numFmtId="4" fontId="0" fillId="5" borderId="52" xfId="0" applyNumberFormat="1" applyFill="1" applyBorder="1"/>
    <xf numFmtId="4" fontId="0" fillId="6" borderId="52" xfId="0" applyNumberFormat="1" applyFill="1" applyBorder="1"/>
    <xf numFmtId="4" fontId="29" fillId="2" borderId="52" xfId="0" applyNumberFormat="1" applyFont="1" applyFill="1" applyBorder="1"/>
    <xf numFmtId="0" fontId="0" fillId="2" borderId="43" xfId="0" applyFill="1" applyBorder="1"/>
    <xf numFmtId="4" fontId="0" fillId="9" borderId="52" xfId="0" applyNumberFormat="1" applyFill="1" applyBorder="1"/>
    <xf numFmtId="0" fontId="0" fillId="10" borderId="43" xfId="0" applyFill="1" applyBorder="1"/>
    <xf numFmtId="4" fontId="0" fillId="10" borderId="52" xfId="0" applyNumberFormat="1" applyFill="1" applyBorder="1"/>
    <xf numFmtId="0" fontId="0" fillId="11" borderId="43" xfId="0" applyFill="1" applyBorder="1"/>
    <xf numFmtId="4" fontId="0" fillId="11" borderId="52" xfId="0" applyNumberFormat="1" applyFill="1" applyBorder="1"/>
    <xf numFmtId="0" fontId="0" fillId="12" borderId="43" xfId="0" applyFill="1" applyBorder="1"/>
    <xf numFmtId="4" fontId="0" fillId="12" borderId="52" xfId="0" applyNumberFormat="1" applyFill="1" applyBorder="1"/>
    <xf numFmtId="4" fontId="29" fillId="0" borderId="52" xfId="0" applyNumberFormat="1" applyFont="1" applyBorder="1"/>
    <xf numFmtId="4" fontId="35" fillId="0" borderId="52" xfId="0" applyNumberFormat="1" applyFont="1" applyBorder="1"/>
    <xf numFmtId="49" fontId="0" fillId="0" borderId="43" xfId="0" applyNumberFormat="1" applyBorder="1"/>
    <xf numFmtId="0" fontId="32" fillId="0" borderId="52" xfId="0" applyFont="1" applyBorder="1" applyAlignment="1">
      <alignment horizontal="right"/>
    </xf>
    <xf numFmtId="4" fontId="0" fillId="13" borderId="43" xfId="0" applyNumberFormat="1" applyFill="1" applyBorder="1"/>
    <xf numFmtId="4" fontId="30" fillId="14" borderId="43" xfId="0" applyNumberFormat="1" applyFont="1" applyFill="1" applyBorder="1"/>
    <xf numFmtId="4" fontId="0" fillId="15" borderId="43" xfId="0" applyNumberFormat="1" applyFill="1" applyBorder="1"/>
    <xf numFmtId="4" fontId="30" fillId="15" borderId="52" xfId="0" applyNumberFormat="1" applyFont="1" applyFill="1" applyBorder="1"/>
    <xf numFmtId="4" fontId="0" fillId="4" borderId="43" xfId="0" applyNumberFormat="1" applyFill="1" applyBorder="1"/>
    <xf numFmtId="4" fontId="30" fillId="4" borderId="52" xfId="0" applyNumberFormat="1" applyFont="1" applyFill="1" applyBorder="1"/>
    <xf numFmtId="4" fontId="0" fillId="16" borderId="43" xfId="0" applyNumberFormat="1" applyFill="1" applyBorder="1"/>
    <xf numFmtId="4" fontId="30" fillId="16" borderId="52" xfId="0" applyNumberFormat="1" applyFont="1" applyFill="1" applyBorder="1"/>
    <xf numFmtId="4" fontId="0" fillId="17" borderId="43" xfId="0" applyNumberFormat="1" applyFill="1" applyBorder="1"/>
    <xf numFmtId="4" fontId="30" fillId="17" borderId="52" xfId="0" applyNumberFormat="1" applyFont="1" applyFill="1" applyBorder="1"/>
    <xf numFmtId="4" fontId="0" fillId="18" borderId="43" xfId="0" applyNumberFormat="1" applyFill="1" applyBorder="1"/>
    <xf numFmtId="4" fontId="30" fillId="18" borderId="52" xfId="0" applyNumberFormat="1" applyFont="1" applyFill="1" applyBorder="1"/>
    <xf numFmtId="4" fontId="0" fillId="19" borderId="43" xfId="0" applyNumberFormat="1" applyFill="1" applyBorder="1"/>
    <xf numFmtId="4" fontId="30" fillId="19" borderId="52" xfId="0" applyNumberFormat="1" applyFont="1" applyFill="1" applyBorder="1"/>
    <xf numFmtId="4" fontId="0" fillId="20" borderId="43" xfId="0" applyNumberFormat="1" applyFill="1" applyBorder="1"/>
    <xf numFmtId="4" fontId="0" fillId="21" borderId="43" xfId="0" applyNumberFormat="1" applyFill="1" applyBorder="1"/>
    <xf numFmtId="4" fontId="0" fillId="22" borderId="43" xfId="0" applyNumberFormat="1" applyFill="1" applyBorder="1"/>
    <xf numFmtId="4" fontId="0" fillId="23" borderId="43" xfId="0" applyNumberFormat="1" applyFill="1" applyBorder="1"/>
    <xf numFmtId="4" fontId="0" fillId="24" borderId="43" xfId="0" applyNumberFormat="1" applyFill="1" applyBorder="1"/>
    <xf numFmtId="4" fontId="30" fillId="24" borderId="52" xfId="0" applyNumberFormat="1" applyFont="1" applyFill="1" applyBorder="1"/>
    <xf numFmtId="4" fontId="0" fillId="25" borderId="43" xfId="0" applyNumberFormat="1" applyFill="1" applyBorder="1"/>
    <xf numFmtId="4" fontId="0" fillId="5" borderId="43" xfId="0" applyNumberFormat="1" applyFill="1" applyBorder="1"/>
    <xf numFmtId="49" fontId="29" fillId="2" borderId="43" xfId="0" applyNumberFormat="1" applyFont="1" applyFill="1" applyBorder="1"/>
    <xf numFmtId="4" fontId="0" fillId="3" borderId="0" xfId="0" applyNumberFormat="1" applyFill="1" applyAlignment="1">
      <alignment wrapText="1"/>
    </xf>
    <xf numFmtId="4" fontId="0" fillId="0" borderId="52" xfId="0" applyNumberFormat="1" applyBorder="1" applyAlignment="1">
      <alignment wrapText="1"/>
    </xf>
    <xf numFmtId="4" fontId="29" fillId="0" borderId="52" xfId="0" applyNumberFormat="1" applyFont="1" applyBorder="1" applyAlignment="1">
      <alignment wrapText="1"/>
    </xf>
    <xf numFmtId="0" fontId="36" fillId="2" borderId="43" xfId="0" applyFont="1" applyFill="1" applyBorder="1" applyAlignment="1">
      <alignment vertical="center" wrapText="1"/>
    </xf>
    <xf numFmtId="0" fontId="32" fillId="2" borderId="52" xfId="0" applyFont="1" applyFill="1" applyBorder="1" applyAlignment="1">
      <alignment horizontal="right"/>
    </xf>
    <xf numFmtId="0" fontId="0" fillId="2" borderId="43" xfId="0" applyFill="1" applyBorder="1" applyAlignment="1">
      <alignment vertical="center" wrapText="1"/>
    </xf>
    <xf numFmtId="4" fontId="0" fillId="3" borderId="0" xfId="0" applyNumberFormat="1" applyFill="1" applyAlignment="1">
      <alignment horizontal="right" vertical="center" wrapText="1"/>
    </xf>
    <xf numFmtId="4" fontId="0" fillId="2" borderId="52" xfId="0" applyNumberFormat="1" applyFill="1" applyBorder="1" applyAlignment="1">
      <alignment horizontal="right" vertical="center" wrapText="1"/>
    </xf>
    <xf numFmtId="0" fontId="0" fillId="0" borderId="43" xfId="0" applyBorder="1" applyAlignment="1">
      <alignment vertical="center" wrapText="1"/>
    </xf>
    <xf numFmtId="4" fontId="29" fillId="2" borderId="52" xfId="0" applyNumberFormat="1" applyFont="1" applyFill="1" applyBorder="1" applyAlignment="1">
      <alignment vertical="center" wrapText="1"/>
    </xf>
    <xf numFmtId="49" fontId="0" fillId="2" borderId="43" xfId="0" applyNumberFormat="1" applyFill="1" applyBorder="1"/>
    <xf numFmtId="4" fontId="0" fillId="35" borderId="43" xfId="0" applyNumberFormat="1" applyFill="1" applyBorder="1"/>
    <xf numFmtId="4" fontId="0" fillId="39" borderId="43" xfId="0" applyNumberFormat="1" applyFill="1" applyBorder="1"/>
    <xf numFmtId="0" fontId="0" fillId="2" borderId="0" xfId="0" applyFill="1"/>
    <xf numFmtId="4" fontId="0" fillId="2" borderId="52" xfId="0" applyNumberFormat="1" applyFill="1" applyBorder="1"/>
    <xf numFmtId="0" fontId="0" fillId="29" borderId="43" xfId="0" applyFill="1" applyBorder="1"/>
    <xf numFmtId="4" fontId="0" fillId="29" borderId="52" xfId="0" applyNumberFormat="1" applyFill="1" applyBorder="1"/>
    <xf numFmtId="0" fontId="0" fillId="30" borderId="43" xfId="0" applyFill="1" applyBorder="1"/>
    <xf numFmtId="4" fontId="0" fillId="30" borderId="52" xfId="0" applyNumberFormat="1" applyFill="1" applyBorder="1"/>
    <xf numFmtId="0" fontId="0" fillId="32" borderId="43" xfId="0" applyFill="1" applyBorder="1"/>
    <xf numFmtId="4" fontId="0" fillId="32" borderId="52" xfId="0" applyNumberFormat="1" applyFill="1" applyBorder="1"/>
    <xf numFmtId="0" fontId="0" fillId="28" borderId="43" xfId="0" applyFill="1" applyBorder="1"/>
    <xf numFmtId="4" fontId="0" fillId="28" borderId="52" xfId="0" applyNumberFormat="1" applyFill="1" applyBorder="1"/>
    <xf numFmtId="4" fontId="25" fillId="2" borderId="52" xfId="0" applyNumberFormat="1" applyFont="1" applyFill="1" applyBorder="1"/>
    <xf numFmtId="0" fontId="29" fillId="33" borderId="43" xfId="0" applyFont="1" applyFill="1" applyBorder="1"/>
    <xf numFmtId="4" fontId="29" fillId="33" borderId="0" xfId="0" applyNumberFormat="1" applyFont="1" applyFill="1"/>
    <xf numFmtId="4" fontId="25" fillId="33" borderId="52" xfId="0" applyNumberFormat="1" applyFont="1" applyFill="1" applyBorder="1"/>
    <xf numFmtId="0" fontId="0" fillId="0" borderId="59" xfId="0" applyBorder="1"/>
    <xf numFmtId="0" fontId="0" fillId="0" borderId="60" xfId="0" applyBorder="1"/>
    <xf numFmtId="0" fontId="0" fillId="0" borderId="48" xfId="0" applyBorder="1"/>
    <xf numFmtId="0" fontId="9" fillId="0" borderId="31" xfId="0" applyFont="1" applyBorder="1"/>
    <xf numFmtId="4" fontId="9" fillId="0" borderId="31" xfId="0" applyNumberFormat="1" applyFont="1" applyBorder="1"/>
    <xf numFmtId="0" fontId="9" fillId="0" borderId="32" xfId="0" applyFont="1" applyBorder="1"/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0" fontId="9" fillId="0" borderId="36" xfId="0" applyFont="1" applyBorder="1"/>
    <xf numFmtId="0" fontId="9" fillId="0" borderId="37" xfId="0" applyFont="1" applyBorder="1"/>
    <xf numFmtId="4" fontId="9" fillId="0" borderId="38" xfId="0" applyNumberFormat="1" applyFont="1" applyBorder="1"/>
    <xf numFmtId="0" fontId="9" fillId="0" borderId="39" xfId="0" applyFont="1" applyBorder="1"/>
    <xf numFmtId="0" fontId="9" fillId="3" borderId="31" xfId="0" applyFont="1" applyFill="1" applyBorder="1"/>
    <xf numFmtId="10" fontId="9" fillId="3" borderId="31" xfId="3" applyNumberFormat="1" applyFont="1" applyFill="1" applyBorder="1"/>
    <xf numFmtId="0" fontId="9" fillId="3" borderId="32" xfId="0" applyFont="1" applyFill="1" applyBorder="1"/>
    <xf numFmtId="43" fontId="9" fillId="3" borderId="33" xfId="4" applyFont="1" applyFill="1" applyBorder="1"/>
    <xf numFmtId="0" fontId="9" fillId="3" borderId="34" xfId="0" applyFont="1" applyFill="1" applyBorder="1"/>
    <xf numFmtId="0" fontId="9" fillId="3" borderId="35" xfId="0" applyFont="1" applyFill="1" applyBorder="1"/>
    <xf numFmtId="0" fontId="9" fillId="3" borderId="36" xfId="0" applyFont="1" applyFill="1" applyBorder="1"/>
    <xf numFmtId="0" fontId="9" fillId="3" borderId="37" xfId="0" applyFont="1" applyFill="1" applyBorder="1"/>
    <xf numFmtId="10" fontId="9" fillId="3" borderId="38" xfId="3" applyNumberFormat="1" applyFont="1" applyFill="1" applyBorder="1"/>
    <xf numFmtId="0" fontId="9" fillId="3" borderId="39" xfId="0" applyFont="1" applyFill="1" applyBorder="1"/>
    <xf numFmtId="3" fontId="9" fillId="0" borderId="34" xfId="0" applyNumberFormat="1" applyFont="1" applyBorder="1"/>
    <xf numFmtId="10" fontId="9" fillId="0" borderId="36" xfId="0" applyNumberFormat="1" applyFont="1" applyBorder="1"/>
    <xf numFmtId="0" fontId="9" fillId="0" borderId="38" xfId="0" applyFont="1" applyBorder="1"/>
    <xf numFmtId="0" fontId="9" fillId="3" borderId="33" xfId="0" applyFont="1" applyFill="1" applyBorder="1"/>
    <xf numFmtId="0" fontId="9" fillId="3" borderId="38" xfId="0" applyFont="1" applyFill="1" applyBorder="1"/>
    <xf numFmtId="4" fontId="9" fillId="3" borderId="31" xfId="0" applyNumberFormat="1" applyFont="1" applyFill="1" applyBorder="1"/>
    <xf numFmtId="4" fontId="9" fillId="3" borderId="36" xfId="0" applyNumberFormat="1" applyFont="1" applyFill="1" applyBorder="1"/>
    <xf numFmtId="9" fontId="9" fillId="0" borderId="36" xfId="3" applyFont="1" applyBorder="1"/>
    <xf numFmtId="9" fontId="9" fillId="3" borderId="36" xfId="3" applyFont="1" applyFill="1" applyBorder="1"/>
    <xf numFmtId="9" fontId="9" fillId="0" borderId="39" xfId="3" applyFont="1" applyBorder="1"/>
    <xf numFmtId="9" fontId="9" fillId="3" borderId="61" xfId="3" applyFont="1" applyFill="1" applyBorder="1"/>
    <xf numFmtId="9" fontId="9" fillId="3" borderId="62" xfId="3" applyFont="1" applyFill="1" applyBorder="1"/>
    <xf numFmtId="9" fontId="9" fillId="3" borderId="63" xfId="3" applyFont="1" applyFill="1" applyBorder="1"/>
    <xf numFmtId="0" fontId="80" fillId="3" borderId="35" xfId="0" applyFont="1" applyFill="1" applyBorder="1"/>
    <xf numFmtId="0" fontId="23" fillId="3" borderId="35" xfId="0" applyFont="1" applyFill="1" applyBorder="1"/>
    <xf numFmtId="0" fontId="23" fillId="3" borderId="31" xfId="0" applyFont="1" applyFill="1" applyBorder="1"/>
    <xf numFmtId="0" fontId="23" fillId="3" borderId="36" xfId="0" applyFont="1" applyFill="1" applyBorder="1"/>
    <xf numFmtId="0" fontId="80" fillId="3" borderId="32" xfId="0" applyFont="1" applyFill="1" applyBorder="1"/>
    <xf numFmtId="0" fontId="83" fillId="0" borderId="0" xfId="0" applyFont="1" applyAlignment="1">
      <alignment horizontal="justify" vertical="center" wrapText="1"/>
    </xf>
    <xf numFmtId="4" fontId="83" fillId="0" borderId="0" xfId="0" applyNumberFormat="1" applyFont="1" applyAlignment="1">
      <alignment horizontal="right" vertical="center" wrapText="1"/>
    </xf>
    <xf numFmtId="4" fontId="83" fillId="0" borderId="0" xfId="0" applyNumberFormat="1" applyFont="1" applyAlignment="1">
      <alignment horizontal="right" vertical="center"/>
    </xf>
    <xf numFmtId="0" fontId="83" fillId="0" borderId="0" xfId="0" applyFont="1"/>
    <xf numFmtId="4" fontId="83" fillId="0" borderId="15" xfId="0" applyNumberFormat="1" applyFont="1" applyBorder="1" applyAlignment="1">
      <alignment horizontal="right" vertical="center"/>
    </xf>
    <xf numFmtId="0" fontId="83" fillId="0" borderId="0" xfId="0" applyFont="1" applyAlignment="1">
      <alignment vertical="center" wrapText="1"/>
    </xf>
    <xf numFmtId="4" fontId="83" fillId="0" borderId="16" xfId="0" applyNumberFormat="1" applyFont="1" applyBorder="1" applyAlignment="1">
      <alignment horizontal="right" vertical="center"/>
    </xf>
    <xf numFmtId="4" fontId="83" fillId="0" borderId="13" xfId="0" applyNumberFormat="1" applyFont="1" applyBorder="1" applyAlignment="1">
      <alignment horizontal="right" vertical="center"/>
    </xf>
    <xf numFmtId="0" fontId="50" fillId="27" borderId="0" xfId="0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justify"/>
    </xf>
    <xf numFmtId="4" fontId="6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51" fillId="27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0" fontId="33" fillId="0" borderId="0" xfId="0" applyFont="1"/>
    <xf numFmtId="0" fontId="34" fillId="0" borderId="0" xfId="0" applyFont="1"/>
    <xf numFmtId="0" fontId="85" fillId="0" borderId="43" xfId="0" applyFont="1" applyBorder="1"/>
    <xf numFmtId="4" fontId="85" fillId="0" borderId="0" xfId="0" applyNumberFormat="1" applyFont="1"/>
    <xf numFmtId="0" fontId="85" fillId="0" borderId="23" xfId="0" applyFont="1" applyBorder="1"/>
    <xf numFmtId="0" fontId="85" fillId="0" borderId="22" xfId="0" applyFont="1" applyBorder="1"/>
    <xf numFmtId="0" fontId="85" fillId="0" borderId="0" xfId="0" applyFont="1"/>
    <xf numFmtId="0" fontId="85" fillId="0" borderId="52" xfId="0" applyFont="1" applyBorder="1"/>
    <xf numFmtId="3" fontId="86" fillId="0" borderId="0" xfId="0" applyNumberFormat="1" applyFont="1"/>
    <xf numFmtId="4" fontId="25" fillId="0" borderId="0" xfId="0" applyNumberFormat="1" applyFont="1" applyAlignment="1">
      <alignment horizontal="right"/>
    </xf>
    <xf numFmtId="0" fontId="87" fillId="0" borderId="0" xfId="0" applyFont="1"/>
    <xf numFmtId="0" fontId="88" fillId="0" borderId="0" xfId="0" applyFont="1"/>
    <xf numFmtId="4" fontId="88" fillId="0" borderId="0" xfId="0" applyNumberFormat="1" applyFont="1"/>
    <xf numFmtId="4" fontId="25" fillId="2" borderId="42" xfId="0" applyNumberFormat="1" applyFont="1" applyFill="1" applyBorder="1" applyAlignment="1">
      <alignment horizontal="right"/>
    </xf>
    <xf numFmtId="4" fontId="0" fillId="0" borderId="18" xfId="0" applyNumberFormat="1" applyBorder="1"/>
    <xf numFmtId="4" fontId="25" fillId="2" borderId="0" xfId="0" applyNumberFormat="1" applyFont="1" applyFill="1" applyAlignment="1">
      <alignment horizontal="right"/>
    </xf>
    <xf numFmtId="4" fontId="0" fillId="0" borderId="0" xfId="0" applyNumberFormat="1" applyAlignment="1">
      <alignment vertical="center" wrapText="1"/>
    </xf>
    <xf numFmtId="4" fontId="0" fillId="0" borderId="14" xfId="0" applyNumberFormat="1" applyBorder="1"/>
    <xf numFmtId="4" fontId="0" fillId="0" borderId="42" xfId="0" applyNumberFormat="1" applyBorder="1"/>
    <xf numFmtId="4" fontId="0" fillId="48" borderId="0" xfId="0" applyNumberFormat="1" applyFill="1"/>
    <xf numFmtId="0" fontId="0" fillId="48" borderId="0" xfId="0" applyFill="1"/>
    <xf numFmtId="0" fontId="0" fillId="49" borderId="43" xfId="0" applyFill="1" applyBorder="1"/>
    <xf numFmtId="4" fontId="0" fillId="49" borderId="0" xfId="0" applyNumberFormat="1" applyFill="1"/>
    <xf numFmtId="4" fontId="0" fillId="49" borderId="23" xfId="0" applyNumberFormat="1" applyFill="1" applyBorder="1"/>
    <xf numFmtId="4" fontId="89" fillId="0" borderId="0" xfId="0" applyNumberFormat="1" applyFont="1"/>
    <xf numFmtId="4" fontId="85" fillId="33" borderId="0" xfId="0" applyNumberFormat="1" applyFont="1" applyFill="1"/>
    <xf numFmtId="4" fontId="85" fillId="13" borderId="0" xfId="0" applyNumberFormat="1" applyFont="1" applyFill="1"/>
    <xf numFmtId="4" fontId="85" fillId="35" borderId="0" xfId="0" applyNumberFormat="1" applyFont="1" applyFill="1"/>
    <xf numFmtId="4" fontId="85" fillId="25" borderId="0" xfId="0" applyNumberFormat="1" applyFont="1" applyFill="1"/>
    <xf numFmtId="4" fontId="85" fillId="7" borderId="0" xfId="0" applyNumberFormat="1" applyFont="1" applyFill="1"/>
    <xf numFmtId="4" fontId="85" fillId="24" borderId="0" xfId="0" applyNumberFormat="1" applyFont="1" applyFill="1"/>
    <xf numFmtId="4" fontId="85" fillId="39" borderId="0" xfId="0" applyNumberFormat="1" applyFont="1" applyFill="1"/>
    <xf numFmtId="4" fontId="85" fillId="40" borderId="0" xfId="0" applyNumberFormat="1" applyFont="1" applyFill="1"/>
    <xf numFmtId="4" fontId="85" fillId="41" borderId="0" xfId="0" applyNumberFormat="1" applyFont="1" applyFill="1"/>
    <xf numFmtId="4" fontId="85" fillId="3" borderId="0" xfId="0" applyNumberFormat="1" applyFont="1" applyFill="1"/>
    <xf numFmtId="4" fontId="85" fillId="15" borderId="0" xfId="0" applyNumberFormat="1" applyFont="1" applyFill="1"/>
    <xf numFmtId="4" fontId="85" fillId="42" borderId="0" xfId="0" applyNumberFormat="1" applyFont="1" applyFill="1"/>
    <xf numFmtId="4" fontId="85" fillId="43" borderId="0" xfId="0" applyNumberFormat="1" applyFont="1" applyFill="1"/>
    <xf numFmtId="4" fontId="85" fillId="8" borderId="0" xfId="0" applyNumberFormat="1" applyFont="1" applyFill="1"/>
    <xf numFmtId="4" fontId="85" fillId="23" borderId="0" xfId="0" applyNumberFormat="1" applyFont="1" applyFill="1"/>
    <xf numFmtId="4" fontId="84" fillId="48" borderId="0" xfId="0" applyNumberFormat="1" applyFont="1" applyFill="1"/>
    <xf numFmtId="4" fontId="90" fillId="0" borderId="0" xfId="0" applyNumberFormat="1" applyFont="1"/>
    <xf numFmtId="4" fontId="85" fillId="6" borderId="0" xfId="0" applyNumberFormat="1" applyFont="1" applyFill="1"/>
    <xf numFmtId="4" fontId="85" fillId="44" borderId="0" xfId="0" applyNumberFormat="1" applyFont="1" applyFill="1"/>
    <xf numFmtId="4" fontId="85" fillId="45" borderId="0" xfId="0" applyNumberFormat="1" applyFont="1" applyFill="1"/>
    <xf numFmtId="4" fontId="85" fillId="46" borderId="0" xfId="0" applyNumberFormat="1" applyFont="1" applyFill="1"/>
    <xf numFmtId="4" fontId="85" fillId="21" borderId="0" xfId="0" applyNumberFormat="1" applyFont="1" applyFill="1"/>
    <xf numFmtId="4" fontId="85" fillId="20" borderId="0" xfId="0" applyNumberFormat="1" applyFont="1" applyFill="1"/>
    <xf numFmtId="4" fontId="85" fillId="14" borderId="0" xfId="0" applyNumberFormat="1" applyFont="1" applyFill="1"/>
    <xf numFmtId="4" fontId="85" fillId="22" borderId="0" xfId="0" applyNumberFormat="1" applyFont="1" applyFill="1"/>
    <xf numFmtId="4" fontId="85" fillId="31" borderId="0" xfId="0" applyNumberFormat="1" applyFont="1" applyFill="1"/>
    <xf numFmtId="4" fontId="85" fillId="28" borderId="0" xfId="0" applyNumberFormat="1" applyFont="1" applyFill="1"/>
    <xf numFmtId="4" fontId="0" fillId="3" borderId="17" xfId="0" applyNumberFormat="1" applyFill="1" applyBorder="1"/>
    <xf numFmtId="4" fontId="0" fillId="3" borderId="18" xfId="0" applyNumberFormat="1" applyFill="1" applyBorder="1"/>
    <xf numFmtId="4" fontId="0" fillId="8" borderId="17" xfId="0" applyNumberFormat="1" applyFill="1" applyBorder="1"/>
    <xf numFmtId="4" fontId="0" fillId="8" borderId="18" xfId="0" applyNumberFormat="1" applyFill="1" applyBorder="1"/>
    <xf numFmtId="4" fontId="0" fillId="9" borderId="17" xfId="0" applyNumberFormat="1" applyFill="1" applyBorder="1"/>
    <xf numFmtId="4" fontId="0" fillId="9" borderId="18" xfId="0" applyNumberFormat="1" applyFill="1" applyBorder="1"/>
    <xf numFmtId="4" fontId="0" fillId="34" borderId="17" xfId="0" applyNumberFormat="1" applyFill="1" applyBorder="1"/>
    <xf numFmtId="4" fontId="0" fillId="34" borderId="18" xfId="0" applyNumberFormat="1" applyFill="1" applyBorder="1"/>
    <xf numFmtId="4" fontId="25" fillId="3" borderId="29" xfId="0" applyNumberFormat="1" applyFont="1" applyFill="1" applyBorder="1"/>
    <xf numFmtId="4" fontId="0" fillId="0" borderId="17" xfId="0" applyNumberFormat="1" applyBorder="1"/>
    <xf numFmtId="4" fontId="30" fillId="0" borderId="0" xfId="0" applyNumberFormat="1" applyFont="1"/>
    <xf numFmtId="4" fontId="0" fillId="39" borderId="17" xfId="0" applyNumberFormat="1" applyFill="1" applyBorder="1"/>
    <xf numFmtId="4" fontId="0" fillId="39" borderId="18" xfId="0" applyNumberFormat="1" applyFill="1" applyBorder="1"/>
    <xf numFmtId="4" fontId="25" fillId="32" borderId="17" xfId="0" applyNumberFormat="1" applyFont="1" applyFill="1" applyBorder="1"/>
    <xf numFmtId="4" fontId="25" fillId="32" borderId="0" xfId="0" applyNumberFormat="1" applyFont="1" applyFill="1"/>
    <xf numFmtId="4" fontId="0" fillId="28" borderId="17" xfId="0" applyNumberFormat="1" applyFill="1" applyBorder="1"/>
    <xf numFmtId="4" fontId="0" fillId="33" borderId="17" xfId="0" applyNumberFormat="1" applyFill="1" applyBorder="1"/>
    <xf numFmtId="4" fontId="91" fillId="0" borderId="0" xfId="0" applyNumberFormat="1" applyFont="1"/>
    <xf numFmtId="1" fontId="0" fillId="3" borderId="17" xfId="0" applyNumberFormat="1" applyFill="1" applyBorder="1"/>
    <xf numFmtId="1" fontId="0" fillId="3" borderId="0" xfId="0" applyNumberFormat="1" applyFill="1"/>
    <xf numFmtId="1" fontId="0" fillId="3" borderId="18" xfId="0" applyNumberFormat="1" applyFill="1" applyBorder="1"/>
    <xf numFmtId="1" fontId="0" fillId="8" borderId="17" xfId="0" applyNumberFormat="1" applyFill="1" applyBorder="1"/>
    <xf numFmtId="1" fontId="0" fillId="8" borderId="0" xfId="0" applyNumberFormat="1" applyFill="1"/>
    <xf numFmtId="1" fontId="0" fillId="8" borderId="18" xfId="0" applyNumberFormat="1" applyFill="1" applyBorder="1"/>
    <xf numFmtId="1" fontId="0" fillId="9" borderId="17" xfId="0" applyNumberFormat="1" applyFill="1" applyBorder="1"/>
    <xf numFmtId="1" fontId="0" fillId="9" borderId="18" xfId="0" applyNumberFormat="1" applyFill="1" applyBorder="1"/>
    <xf numFmtId="1" fontId="0" fillId="34" borderId="17" xfId="0" applyNumberFormat="1" applyFill="1" applyBorder="1"/>
    <xf numFmtId="1" fontId="0" fillId="34" borderId="18" xfId="0" applyNumberFormat="1" applyFill="1" applyBorder="1"/>
    <xf numFmtId="1" fontId="25" fillId="3" borderId="29" xfId="0" applyNumberFormat="1" applyFont="1" applyFill="1" applyBorder="1"/>
    <xf numFmtId="0" fontId="0" fillId="8" borderId="23" xfId="0" applyFill="1" applyBorder="1"/>
    <xf numFmtId="4" fontId="25" fillId="9" borderId="0" xfId="0" applyNumberFormat="1" applyFont="1" applyFill="1"/>
    <xf numFmtId="4" fontId="72" fillId="0" borderId="0" xfId="0" applyNumberFormat="1" applyFont="1"/>
    <xf numFmtId="4" fontId="29" fillId="0" borderId="18" xfId="0" applyNumberFormat="1" applyFont="1" applyBorder="1"/>
    <xf numFmtId="4" fontId="25" fillId="0" borderId="17" xfId="0" applyNumberFormat="1" applyFont="1" applyBorder="1"/>
    <xf numFmtId="4" fontId="25" fillId="0" borderId="17" xfId="0" applyNumberFormat="1" applyFont="1" applyBorder="1" applyAlignment="1">
      <alignment horizontal="center"/>
    </xf>
    <xf numFmtId="4" fontId="92" fillId="0" borderId="0" xfId="0" applyNumberFormat="1" applyFont="1"/>
    <xf numFmtId="4" fontId="91" fillId="0" borderId="18" xfId="0" applyNumberFormat="1" applyFont="1" applyBorder="1"/>
    <xf numFmtId="4" fontId="25" fillId="0" borderId="0" xfId="0" applyNumberFormat="1" applyFont="1" applyAlignment="1">
      <alignment horizontal="center"/>
    </xf>
    <xf numFmtId="1" fontId="0" fillId="13" borderId="17" xfId="0" applyNumberFormat="1" applyFill="1" applyBorder="1"/>
    <xf numFmtId="1" fontId="0" fillId="13" borderId="18" xfId="0" applyNumberFormat="1" applyFill="1" applyBorder="1"/>
    <xf numFmtId="1" fontId="0" fillId="25" borderId="17" xfId="0" applyNumberFormat="1" applyFill="1" applyBorder="1"/>
    <xf numFmtId="1" fontId="0" fillId="25" borderId="0" xfId="0" applyNumberFormat="1" applyFill="1"/>
    <xf numFmtId="1" fontId="0" fillId="25" borderId="18" xfId="0" applyNumberFormat="1" applyFill="1" applyBorder="1"/>
    <xf numFmtId="1" fontId="0" fillId="5" borderId="17" xfId="0" applyNumberFormat="1" applyFill="1" applyBorder="1"/>
    <xf numFmtId="1" fontId="0" fillId="5" borderId="18" xfId="0" applyNumberFormat="1" applyFill="1" applyBorder="1"/>
    <xf numFmtId="0" fontId="0" fillId="13" borderId="22" xfId="0" applyFill="1" applyBorder="1"/>
    <xf numFmtId="0" fontId="0" fillId="13" borderId="24" xfId="0" applyFill="1" applyBorder="1"/>
    <xf numFmtId="0" fontId="0" fillId="13" borderId="18" xfId="0" applyFill="1" applyBorder="1"/>
    <xf numFmtId="4" fontId="25" fillId="13" borderId="12" xfId="0" applyNumberFormat="1" applyFont="1" applyFill="1" applyBorder="1"/>
    <xf numFmtId="4" fontId="0" fillId="25" borderId="20" xfId="0" applyNumberFormat="1" applyFill="1" applyBorder="1"/>
    <xf numFmtId="0" fontId="0" fillId="25" borderId="24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4" xfId="0" applyFill="1" applyBorder="1"/>
    <xf numFmtId="4" fontId="25" fillId="5" borderId="12" xfId="0" applyNumberFormat="1" applyFont="1" applyFill="1" applyBorder="1"/>
    <xf numFmtId="0" fontId="0" fillId="50" borderId="0" xfId="0" applyFill="1"/>
    <xf numFmtId="4" fontId="0" fillId="50" borderId="0" xfId="0" applyNumberFormat="1" applyFill="1"/>
    <xf numFmtId="4" fontId="88" fillId="50" borderId="0" xfId="0" applyNumberFormat="1" applyFont="1" applyFill="1"/>
    <xf numFmtId="0" fontId="25" fillId="9" borderId="65" xfId="0" applyFont="1" applyFill="1" applyBorder="1"/>
    <xf numFmtId="0" fontId="0" fillId="9" borderId="65" xfId="0" applyFill="1" applyBorder="1"/>
    <xf numFmtId="4" fontId="0" fillId="9" borderId="66" xfId="0" applyNumberFormat="1" applyFill="1" applyBorder="1"/>
    <xf numFmtId="0" fontId="25" fillId="9" borderId="0" xfId="0" applyFont="1" applyFill="1"/>
    <xf numFmtId="4" fontId="0" fillId="9" borderId="67" xfId="0" applyNumberFormat="1" applyFill="1" applyBorder="1"/>
    <xf numFmtId="0" fontId="0" fillId="9" borderId="64" xfId="0" applyFill="1" applyBorder="1"/>
    <xf numFmtId="4" fontId="94" fillId="9" borderId="68" xfId="0" applyNumberFormat="1" applyFont="1" applyFill="1" applyBorder="1"/>
    <xf numFmtId="4" fontId="81" fillId="39" borderId="0" xfId="0" applyNumberFormat="1" applyFont="1" applyFill="1"/>
    <xf numFmtId="4" fontId="25" fillId="39" borderId="0" xfId="0" applyNumberFormat="1" applyFont="1" applyFill="1"/>
    <xf numFmtId="4" fontId="87" fillId="3" borderId="0" xfId="0" applyNumberFormat="1" applyFont="1" applyFill="1"/>
    <xf numFmtId="4" fontId="87" fillId="9" borderId="0" xfId="0" applyNumberFormat="1" applyFont="1" applyFill="1"/>
    <xf numFmtId="4" fontId="74" fillId="9" borderId="68" xfId="0" applyNumberFormat="1" applyFont="1" applyFill="1" applyBorder="1"/>
    <xf numFmtId="4" fontId="87" fillId="39" borderId="0" xfId="0" applyNumberFormat="1" applyFont="1" applyFill="1"/>
    <xf numFmtId="1" fontId="0" fillId="0" borderId="17" xfId="0" applyNumberFormat="1" applyBorder="1"/>
    <xf numFmtId="1" fontId="0" fillId="0" borderId="0" xfId="0" applyNumberFormat="1"/>
    <xf numFmtId="4" fontId="0" fillId="50" borderId="23" xfId="0" applyNumberFormat="1" applyFill="1" applyBorder="1"/>
    <xf numFmtId="4" fontId="0" fillId="50" borderId="22" xfId="0" applyNumberFormat="1" applyFill="1" applyBorder="1"/>
    <xf numFmtId="4" fontId="0" fillId="50" borderId="52" xfId="0" applyNumberFormat="1" applyFill="1" applyBorder="1"/>
    <xf numFmtId="0" fontId="96" fillId="0" borderId="0" xfId="0" applyFont="1"/>
    <xf numFmtId="4" fontId="96" fillId="9" borderId="0" xfId="0" applyNumberFormat="1" applyFont="1" applyFill="1"/>
    <xf numFmtId="0" fontId="97" fillId="2" borderId="43" xfId="0" applyFont="1" applyFill="1" applyBorder="1" applyAlignment="1">
      <alignment vertical="center" wrapText="1"/>
    </xf>
    <xf numFmtId="4" fontId="97" fillId="2" borderId="0" xfId="0" applyNumberFormat="1" applyFont="1" applyFill="1" applyAlignment="1">
      <alignment vertical="center" wrapText="1"/>
    </xf>
    <xf numFmtId="4" fontId="97" fillId="2" borderId="0" xfId="0" applyNumberFormat="1" applyFont="1" applyFill="1"/>
    <xf numFmtId="0" fontId="96" fillId="8" borderId="43" xfId="0" applyFont="1" applyFill="1" applyBorder="1"/>
    <xf numFmtId="4" fontId="96" fillId="8" borderId="0" xfId="0" applyNumberFormat="1" applyFont="1" applyFill="1"/>
    <xf numFmtId="4" fontId="98" fillId="8" borderId="23" xfId="0" applyNumberFormat="1" applyFont="1" applyFill="1" applyBorder="1"/>
    <xf numFmtId="4" fontId="98" fillId="8" borderId="22" xfId="0" applyNumberFormat="1" applyFont="1" applyFill="1" applyBorder="1"/>
    <xf numFmtId="4" fontId="98" fillId="8" borderId="0" xfId="0" applyNumberFormat="1" applyFont="1" applyFill="1"/>
    <xf numFmtId="4" fontId="98" fillId="8" borderId="52" xfId="0" applyNumberFormat="1" applyFont="1" applyFill="1" applyBorder="1"/>
    <xf numFmtId="0" fontId="96" fillId="9" borderId="43" xfId="0" applyFont="1" applyFill="1" applyBorder="1"/>
    <xf numFmtId="4" fontId="98" fillId="9" borderId="23" xfId="0" applyNumberFormat="1" applyFont="1" applyFill="1" applyBorder="1"/>
    <xf numFmtId="4" fontId="98" fillId="9" borderId="22" xfId="0" applyNumberFormat="1" applyFont="1" applyFill="1" applyBorder="1"/>
    <xf numFmtId="4" fontId="98" fillId="9" borderId="0" xfId="0" applyNumberFormat="1" applyFont="1" applyFill="1"/>
    <xf numFmtId="4" fontId="98" fillId="9" borderId="52" xfId="0" applyNumberFormat="1" applyFont="1" applyFill="1" applyBorder="1"/>
    <xf numFmtId="0" fontId="95" fillId="0" borderId="0" xfId="0" applyFont="1"/>
    <xf numFmtId="4" fontId="25" fillId="35" borderId="0" xfId="0" applyNumberFormat="1" applyFont="1" applyFill="1"/>
    <xf numFmtId="4" fontId="31" fillId="35" borderId="0" xfId="0" applyNumberFormat="1" applyFont="1" applyFill="1"/>
    <xf numFmtId="0" fontId="0" fillId="44" borderId="43" xfId="0" applyFill="1" applyBorder="1"/>
    <xf numFmtId="0" fontId="0" fillId="45" borderId="43" xfId="0" applyFill="1" applyBorder="1"/>
    <xf numFmtId="0" fontId="0" fillId="20" borderId="43" xfId="0" applyFill="1" applyBorder="1"/>
    <xf numFmtId="4" fontId="31" fillId="0" borderId="0" xfId="0" applyNumberFormat="1" applyFont="1"/>
    <xf numFmtId="0" fontId="25" fillId="35" borderId="0" xfId="0" applyFont="1" applyFill="1"/>
    <xf numFmtId="4" fontId="0" fillId="36" borderId="23" xfId="0" applyNumberFormat="1" applyFill="1" applyBorder="1"/>
    <xf numFmtId="4" fontId="0" fillId="36" borderId="22" xfId="0" applyNumberFormat="1" applyFill="1" applyBorder="1"/>
    <xf numFmtId="4" fontId="0" fillId="36" borderId="52" xfId="0" applyNumberFormat="1" applyFill="1" applyBorder="1"/>
    <xf numFmtId="4" fontId="0" fillId="38" borderId="23" xfId="0" applyNumberFormat="1" applyFill="1" applyBorder="1"/>
    <xf numFmtId="4" fontId="0" fillId="38" borderId="22" xfId="0" applyNumberFormat="1" applyFill="1" applyBorder="1"/>
    <xf numFmtId="4" fontId="0" fillId="38" borderId="52" xfId="0" applyNumberFormat="1" applyFill="1" applyBorder="1"/>
    <xf numFmtId="0" fontId="82" fillId="0" borderId="0" xfId="0" applyFont="1"/>
    <xf numFmtId="4" fontId="82" fillId="0" borderId="0" xfId="0" applyNumberFormat="1" applyFont="1"/>
    <xf numFmtId="0" fontId="82" fillId="0" borderId="0" xfId="0" applyFont="1" applyAlignment="1">
      <alignment horizontal="right"/>
    </xf>
    <xf numFmtId="0" fontId="0" fillId="36" borderId="43" xfId="0" applyFill="1" applyBorder="1"/>
    <xf numFmtId="4" fontId="0" fillId="3" borderId="43" xfId="0" applyNumberFormat="1" applyFill="1" applyBorder="1"/>
    <xf numFmtId="4" fontId="0" fillId="38" borderId="43" xfId="0" applyNumberFormat="1" applyFill="1" applyBorder="1"/>
    <xf numFmtId="0" fontId="100" fillId="47" borderId="43" xfId="0" applyFont="1" applyFill="1" applyBorder="1"/>
    <xf numFmtId="4" fontId="100" fillId="47" borderId="0" xfId="0" applyNumberFormat="1" applyFont="1" applyFill="1"/>
    <xf numFmtId="4" fontId="99" fillId="47" borderId="0" xfId="0" applyNumberFormat="1" applyFont="1" applyFill="1"/>
    <xf numFmtId="4" fontId="0" fillId="37" borderId="43" xfId="0" applyNumberFormat="1" applyFill="1" applyBorder="1"/>
    <xf numFmtId="4" fontId="0" fillId="37" borderId="23" xfId="0" applyNumberFormat="1" applyFill="1" applyBorder="1"/>
    <xf numFmtId="4" fontId="0" fillId="37" borderId="22" xfId="0" applyNumberFormat="1" applyFill="1" applyBorder="1"/>
    <xf numFmtId="4" fontId="0" fillId="37" borderId="52" xfId="0" applyNumberFormat="1" applyFill="1" applyBorder="1"/>
    <xf numFmtId="4" fontId="81" fillId="0" borderId="0" xfId="0" applyNumberFormat="1" applyFont="1"/>
    <xf numFmtId="4" fontId="101" fillId="3" borderId="14" xfId="0" applyNumberFormat="1" applyFont="1" applyFill="1" applyBorder="1"/>
    <xf numFmtId="0" fontId="51" fillId="26" borderId="0" xfId="0" applyFont="1" applyFill="1" applyAlignment="1">
      <alignment horizontal="center" vertical="center" wrapText="1"/>
    </xf>
    <xf numFmtId="0" fontId="25" fillId="3" borderId="24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93" fillId="3" borderId="0" xfId="0" applyFont="1" applyFill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50" fillId="26" borderId="0" xfId="0" applyFont="1" applyFill="1" applyAlignment="1">
      <alignment vertical="center" wrapText="1"/>
    </xf>
    <xf numFmtId="0" fontId="50" fillId="26" borderId="0" xfId="0" applyFont="1" applyFill="1" applyAlignment="1">
      <alignment horizontal="center"/>
    </xf>
    <xf numFmtId="3" fontId="49" fillId="26" borderId="17" xfId="2" applyNumberFormat="1" applyFont="1" applyFill="1" applyBorder="1" applyAlignment="1" applyProtection="1">
      <alignment horizontal="center" vertical="center" wrapText="1"/>
      <protection locked="0"/>
    </xf>
    <xf numFmtId="3" fontId="49" fillId="26" borderId="18" xfId="2" applyNumberFormat="1" applyFont="1" applyFill="1" applyBorder="1" applyAlignment="1" applyProtection="1">
      <alignment horizontal="center" vertical="center" wrapText="1"/>
      <protection locked="0"/>
    </xf>
    <xf numFmtId="3" fontId="48" fillId="26" borderId="17" xfId="2" applyNumberFormat="1" applyFont="1" applyFill="1" applyBorder="1" applyAlignment="1" applyProtection="1">
      <alignment horizontal="center" vertical="center" wrapText="1"/>
      <protection locked="0"/>
    </xf>
    <xf numFmtId="3" fontId="48" fillId="26" borderId="18" xfId="2" applyNumberFormat="1" applyFont="1" applyFill="1" applyBorder="1" applyAlignment="1" applyProtection="1">
      <alignment horizontal="center" vertical="center" wrapText="1"/>
      <protection locked="0"/>
    </xf>
    <xf numFmtId="0" fontId="48" fillId="26" borderId="17" xfId="2" applyFont="1" applyFill="1" applyBorder="1" applyAlignment="1" applyProtection="1">
      <alignment horizontal="left" vertical="center" wrapText="1"/>
      <protection locked="0"/>
    </xf>
    <xf numFmtId="0" fontId="48" fillId="26" borderId="18" xfId="2" applyFont="1" applyFill="1" applyBorder="1" applyAlignment="1" applyProtection="1">
      <alignment horizontal="left" vertical="center" wrapText="1"/>
      <protection locked="0"/>
    </xf>
    <xf numFmtId="0" fontId="48" fillId="26" borderId="17" xfId="2" applyFont="1" applyFill="1" applyBorder="1" applyAlignment="1" applyProtection="1">
      <alignment horizontal="center" vertical="center" wrapText="1"/>
      <protection locked="0"/>
    </xf>
    <xf numFmtId="0" fontId="48" fillId="26" borderId="18" xfId="2" applyFont="1" applyFill="1" applyBorder="1" applyAlignment="1" applyProtection="1">
      <alignment horizontal="center" vertical="center" wrapText="1"/>
      <protection locked="0"/>
    </xf>
    <xf numFmtId="3" fontId="49" fillId="26" borderId="17" xfId="2" applyNumberFormat="1" applyFont="1" applyFill="1" applyBorder="1" applyAlignment="1" applyProtection="1">
      <alignment horizontal="center" vertical="center"/>
      <protection locked="0"/>
    </xf>
    <xf numFmtId="3" fontId="49" fillId="26" borderId="18" xfId="2" applyNumberFormat="1" applyFont="1" applyFill="1" applyBorder="1" applyAlignment="1" applyProtection="1">
      <alignment horizontal="center" vertical="center"/>
      <protection locked="0"/>
    </xf>
    <xf numFmtId="3" fontId="48" fillId="26" borderId="20" xfId="2" applyNumberFormat="1" applyFont="1" applyFill="1" applyBorder="1" applyAlignment="1" applyProtection="1">
      <alignment horizontal="center" vertical="center" wrapText="1"/>
      <protection locked="0"/>
    </xf>
    <xf numFmtId="3" fontId="48" fillId="26" borderId="24" xfId="2" applyNumberFormat="1" applyFont="1" applyFill="1" applyBorder="1" applyAlignment="1" applyProtection="1">
      <alignment horizontal="center" vertical="center" wrapText="1"/>
      <protection locked="0"/>
    </xf>
    <xf numFmtId="3" fontId="48" fillId="26" borderId="21" xfId="2" applyNumberFormat="1" applyFont="1" applyFill="1" applyBorder="1" applyAlignment="1" applyProtection="1">
      <alignment horizontal="center" vertical="center" wrapText="1"/>
      <protection locked="0"/>
    </xf>
    <xf numFmtId="3" fontId="48" fillId="26" borderId="1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48" fillId="26" borderId="20" xfId="2" applyFont="1" applyFill="1" applyBorder="1" applyAlignment="1" applyProtection="1">
      <alignment horizontal="left" vertical="center" wrapText="1"/>
      <protection locked="0"/>
    </xf>
    <xf numFmtId="0" fontId="48" fillId="26" borderId="24" xfId="2" applyFont="1" applyFill="1" applyBorder="1" applyAlignment="1" applyProtection="1">
      <alignment horizontal="left" vertical="center" wrapText="1"/>
      <protection locked="0"/>
    </xf>
    <xf numFmtId="0" fontId="67" fillId="0" borderId="50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justify" vertical="center" wrapText="1"/>
    </xf>
    <xf numFmtId="0" fontId="66" fillId="0" borderId="47" xfId="0" applyFont="1" applyBorder="1" applyAlignment="1">
      <alignment horizontal="justify" vertical="center" wrapText="1"/>
    </xf>
    <xf numFmtId="0" fontId="66" fillId="0" borderId="49" xfId="0" applyFont="1" applyBorder="1" applyAlignment="1">
      <alignment horizontal="justify" vertical="center" wrapText="1"/>
    </xf>
    <xf numFmtId="10" fontId="67" fillId="0" borderId="50" xfId="0" applyNumberFormat="1" applyFont="1" applyBorder="1" applyAlignment="1">
      <alignment horizontal="center" vertical="center" wrapText="1"/>
    </xf>
    <xf numFmtId="10" fontId="67" fillId="0" borderId="46" xfId="0" applyNumberFormat="1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justify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10" fontId="61" fillId="0" borderId="50" xfId="0" applyNumberFormat="1" applyFont="1" applyBorder="1" applyAlignment="1">
      <alignment horizontal="center" vertical="center" wrapText="1"/>
    </xf>
    <xf numFmtId="10" fontId="61" fillId="0" borderId="46" xfId="0" applyNumberFormat="1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7" fillId="0" borderId="50" xfId="0" applyFont="1" applyBorder="1" applyAlignment="1">
      <alignment vertical="center" wrapText="1"/>
    </xf>
    <xf numFmtId="0" fontId="67" fillId="0" borderId="47" xfId="0" applyFont="1" applyBorder="1" applyAlignment="1">
      <alignment vertical="center" wrapText="1"/>
    </xf>
    <xf numFmtId="0" fontId="67" fillId="0" borderId="46" xfId="0" applyFont="1" applyBorder="1" applyAlignment="1">
      <alignment vertical="center" wrapText="1"/>
    </xf>
    <xf numFmtId="0" fontId="66" fillId="0" borderId="49" xfId="0" applyFont="1" applyBorder="1" applyAlignment="1">
      <alignment horizontal="center" vertical="center" wrapText="1"/>
    </xf>
    <xf numFmtId="0" fontId="67" fillId="0" borderId="49" xfId="0" applyFont="1" applyBorder="1" applyAlignment="1">
      <alignment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left" vertical="center" wrapText="1"/>
    </xf>
    <xf numFmtId="0" fontId="66" fillId="0" borderId="4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" fontId="12" fillId="26" borderId="2" xfId="0" applyNumberFormat="1" applyFont="1" applyFill="1" applyBorder="1" applyAlignment="1">
      <alignment horizontal="center" vertical="center" wrapText="1"/>
    </xf>
    <xf numFmtId="4" fontId="12" fillId="26" borderId="8" xfId="0" applyNumberFormat="1" applyFont="1" applyFill="1" applyBorder="1" applyAlignment="1">
      <alignment horizontal="center" vertical="center" wrapText="1"/>
    </xf>
    <xf numFmtId="4" fontId="12" fillId="26" borderId="7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26" borderId="2" xfId="0" applyNumberFormat="1" applyFont="1" applyFill="1" applyBorder="1" applyAlignment="1">
      <alignment horizontal="justify" vertical="center" wrapText="1"/>
    </xf>
    <xf numFmtId="4" fontId="12" fillId="26" borderId="7" xfId="0" applyNumberFormat="1" applyFont="1" applyFill="1" applyBorder="1" applyAlignment="1">
      <alignment horizontal="justify" vertical="center" wrapText="1"/>
    </xf>
    <xf numFmtId="4" fontId="12" fillId="0" borderId="2" xfId="0" applyNumberFormat="1" applyFont="1" applyBorder="1" applyAlignment="1">
      <alignment horizontal="justify" vertical="center" wrapText="1"/>
    </xf>
    <xf numFmtId="4" fontId="12" fillId="0" borderId="7" xfId="0" applyNumberFormat="1" applyFont="1" applyBorder="1" applyAlignment="1">
      <alignment horizontal="justify" vertical="center" wrapText="1"/>
    </xf>
    <xf numFmtId="4" fontId="12" fillId="0" borderId="8" xfId="0" applyNumberFormat="1" applyFont="1" applyBorder="1" applyAlignment="1">
      <alignment horizontal="justify" vertical="center" wrapText="1"/>
    </xf>
    <xf numFmtId="4" fontId="12" fillId="26" borderId="8" xfId="0" applyNumberFormat="1" applyFont="1" applyFill="1" applyBorder="1" applyAlignment="1">
      <alignment horizontal="justify" vertical="center" wrapText="1"/>
    </xf>
    <xf numFmtId="0" fontId="23" fillId="0" borderId="36" xfId="0" applyFont="1" applyBorder="1" applyAlignment="1">
      <alignment horizontal="center" vertical="center" wrapText="1"/>
    </xf>
    <xf numFmtId="10" fontId="23" fillId="0" borderId="36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165" fontId="61" fillId="0" borderId="36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justify" vertical="center" wrapText="1"/>
    </xf>
    <xf numFmtId="0" fontId="22" fillId="0" borderId="37" xfId="0" applyFont="1" applyBorder="1" applyAlignment="1">
      <alignment horizontal="justify" vertical="center" wrapText="1"/>
    </xf>
    <xf numFmtId="10" fontId="23" fillId="0" borderId="31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9" fontId="23" fillId="0" borderId="31" xfId="0" applyNumberFormat="1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59" fillId="0" borderId="43" xfId="1" applyFont="1" applyFill="1" applyBorder="1" applyAlignment="1">
      <alignment horizontal="justify" vertical="center"/>
    </xf>
    <xf numFmtId="0" fontId="0" fillId="0" borderId="0" xfId="0"/>
    <xf numFmtId="0" fontId="22" fillId="0" borderId="4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59" fillId="0" borderId="41" xfId="1" applyFont="1" applyFill="1" applyBorder="1" applyAlignment="1">
      <alignment horizontal="justify" vertical="center"/>
    </xf>
    <xf numFmtId="0" fontId="0" fillId="0" borderId="42" xfId="0" applyBorder="1"/>
    <xf numFmtId="0" fontId="11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9" fillId="0" borderId="2" xfId="0" applyFont="1" applyBorder="1" applyAlignment="1">
      <alignment horizontal="justify" vertical="center"/>
    </xf>
    <xf numFmtId="0" fontId="19" fillId="0" borderId="8" xfId="0" applyFont="1" applyBorder="1" applyAlignment="1">
      <alignment horizontal="justify" vertical="center"/>
    </xf>
    <xf numFmtId="0" fontId="19" fillId="0" borderId="7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4" fontId="12" fillId="0" borderId="11" xfId="0" applyNumberFormat="1" applyFont="1" applyBorder="1" applyAlignment="1">
      <alignment horizontal="justify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2" xfId="1" applyBorder="1" applyAlignment="1">
      <alignment horizontal="center" vertical="center" wrapText="1"/>
    </xf>
    <xf numFmtId="0" fontId="14" fillId="0" borderId="3" xfId="1" applyBorder="1" applyAlignment="1">
      <alignment horizontal="center" vertical="center" wrapText="1"/>
    </xf>
    <xf numFmtId="4" fontId="29" fillId="2" borderId="0" xfId="0" applyNumberFormat="1" applyFont="1" applyFill="1" applyBorder="1"/>
    <xf numFmtId="0" fontId="29" fillId="3" borderId="41" xfId="0" applyFont="1" applyFill="1" applyBorder="1"/>
    <xf numFmtId="4" fontId="29" fillId="3" borderId="42" xfId="0" applyNumberFormat="1" applyFont="1" applyFill="1" applyBorder="1"/>
    <xf numFmtId="4" fontId="29" fillId="3" borderId="55" xfId="0" applyNumberFormat="1" applyFont="1" applyFill="1" applyBorder="1"/>
    <xf numFmtId="4" fontId="29" fillId="3" borderId="56" xfId="0" applyNumberFormat="1" applyFont="1" applyFill="1" applyBorder="1"/>
    <xf numFmtId="4" fontId="29" fillId="3" borderId="51" xfId="0" applyNumberFormat="1" applyFont="1" applyFill="1" applyBorder="1"/>
    <xf numFmtId="0" fontId="29" fillId="3" borderId="43" xfId="0" applyFont="1" applyFill="1" applyBorder="1"/>
    <xf numFmtId="4" fontId="29" fillId="3" borderId="0" xfId="0" applyNumberFormat="1" applyFont="1" applyFill="1" applyBorder="1"/>
    <xf numFmtId="4" fontId="29" fillId="3" borderId="23" xfId="0" applyNumberFormat="1" applyFont="1" applyFill="1" applyBorder="1"/>
    <xf numFmtId="4" fontId="29" fillId="3" borderId="22" xfId="0" applyNumberFormat="1" applyFont="1" applyFill="1" applyBorder="1"/>
    <xf numFmtId="4" fontId="29" fillId="3" borderId="52" xfId="0" applyNumberFormat="1" applyFont="1" applyFill="1" applyBorder="1"/>
    <xf numFmtId="0" fontId="29" fillId="3" borderId="53" xfId="0" applyFont="1" applyFill="1" applyBorder="1"/>
    <xf numFmtId="4" fontId="29" fillId="3" borderId="25" xfId="0" applyNumberFormat="1" applyFont="1" applyFill="1" applyBorder="1" applyAlignment="1"/>
    <xf numFmtId="0" fontId="0" fillId="0" borderId="26" xfId="0" applyBorder="1" applyAlignment="1"/>
    <xf numFmtId="0" fontId="0" fillId="0" borderId="69" xfId="0" applyBorder="1" applyAlignment="1"/>
    <xf numFmtId="0" fontId="29" fillId="2" borderId="0" xfId="0" applyFont="1" applyFill="1" applyBorder="1"/>
    <xf numFmtId="0" fontId="0" fillId="0" borderId="0" xfId="0" applyBorder="1"/>
    <xf numFmtId="4" fontId="81" fillId="0" borderId="0" xfId="0" applyNumberFormat="1" applyFont="1" applyBorder="1"/>
    <xf numFmtId="4" fontId="0" fillId="0" borderId="0" xfId="0" applyNumberFormat="1" applyBorder="1"/>
    <xf numFmtId="0" fontId="0" fillId="0" borderId="54" xfId="0" applyBorder="1" applyAlignment="1">
      <alignment wrapText="1"/>
    </xf>
    <xf numFmtId="0" fontId="25" fillId="2" borderId="54" xfId="0" applyFont="1" applyFill="1" applyBorder="1" applyAlignment="1">
      <alignment horizontal="right" wrapText="1"/>
    </xf>
    <xf numFmtId="0" fontId="25" fillId="2" borderId="19" xfId="0" applyFont="1" applyFill="1" applyBorder="1" applyAlignment="1">
      <alignment horizontal="right" wrapText="1"/>
    </xf>
    <xf numFmtId="0" fontId="25" fillId="2" borderId="45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5">
    <cellStyle name="Hiperveza" xfId="1" builtinId="8"/>
    <cellStyle name="Normalno" xfId="0" builtinId="0"/>
    <cellStyle name="Obično_List1" xfId="2" xr:uid="{475FBDBC-AE5A-4DDD-9509-50EF24856D8B}"/>
    <cellStyle name="Postotak" xfId="3" builtinId="5"/>
    <cellStyle name="Zarez" xfId="4" builtinId="3"/>
  </cellStyles>
  <dxfs count="0"/>
  <tableStyles count="0" defaultTableStyle="TableStyleMedium2" defaultPivotStyle="PivotStyleLight16"/>
  <colors>
    <mruColors>
      <color rgb="FFFFFFCC"/>
      <color rgb="FF9966FF"/>
      <color rgb="FFFF33CC"/>
      <color rgb="FFFF99CC"/>
      <color rgb="FF33CCCC"/>
      <color rgb="FF00B0F0"/>
      <color rgb="FF990099"/>
      <color rgb="FFFFFFFF"/>
      <color rgb="FF66FF66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i/Desktop/Rekl%20HZI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PARTICIJA/ines-posao/h&#382;%20infrastruktura/FIN.IZVJE&#352;TAJI/2019/zavr&#353;ni%202019/bilje&#353;ke%202019/tablice%20za%20bilje&#353;ke%20GFI%202019._final_u%20tis%20kn%20za%20reviz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anca  2021-2020 lp"/>
      <sheetName val="za GFI POD Bilanca kn 2021"/>
      <sheetName val="za bilj Bilanca tis kn"/>
      <sheetName val="Bilanca infra i JD 2021. tis kn"/>
      <sheetName val="Radno Bilanca - vrem.razg 2021"/>
      <sheetName val="RDG 2021-2020 lp"/>
      <sheetName val="za bilj RDG tis kn 2021"/>
      <sheetName val="za GFI POD RDG kn 2021"/>
      <sheetName val="CF 2021-2020"/>
      <sheetName val="kapital revizori 2021. kn"/>
      <sheetName val="kapital revizori 2021. tis kn"/>
      <sheetName val="kapital revizori 2020. kn"/>
      <sheetName val="kto kapit.rezervi"/>
      <sheetName val="kapitalne rezerve 2021"/>
      <sheetName val="f tabela nivo 2021"/>
      <sheetName val="f tabela nivo 2021 u tis"/>
      <sheetName val="f tabela INFRA+EU 2021"/>
      <sheetName val="f tabela INFRA+EU 2021 u tis"/>
      <sheetName val="f tabela JD 2021."/>
      <sheetName val="f tabela JD 2021. u tis"/>
      <sheetName val="f tabela stambeno 2021."/>
      <sheetName val="materijalni troškovi 31.12.2021"/>
      <sheetName val="ostali troškovi 31.12.2021."/>
      <sheetName val="troškovi osoblja 31.12.2021."/>
      <sheetName val="vrijed.usklađenje 31.12.2021."/>
      <sheetName val="IV potraživanja 31.12.2021."/>
      <sheetName val="troško.rezerviranja 31.12.2021."/>
      <sheetName val="amortizacija 31.12.2021."/>
      <sheetName val="financijski prihodi 31.12.2021."/>
      <sheetName val="financijski rashodi 31.12.2021."/>
      <sheetName val="kto 784_2021"/>
      <sheetName val="rezerviranja 31.12.2021."/>
      <sheetName val="odg.pla.troš 31.12.2021."/>
      <sheetName val="pla.troš.buduć.razd. 31.12.2021"/>
      <sheetName val="pla.troš.buduć.razd. 31.12.2020"/>
      <sheetName val="novac 31.12.2021."/>
      <sheetName val="obveze prema bankama 31.12.2021"/>
      <sheetName val="dani zajmovi 31.12.2021."/>
      <sheetName val="ostala potraživanja 31.12.2021,"/>
      <sheetName val="pot. od države 31.12.2021."/>
      <sheetName val="prihod od prod POV 31.12.2021."/>
      <sheetName val="prihod od prod OST 31.12.2021."/>
      <sheetName val="ost.posl.prih OST 31.12.2021."/>
      <sheetName val="ost.posl. prih POV 31.12.2021."/>
      <sheetName val="ost.poslovni rash. 31.12.2021."/>
      <sheetName val="šifre kupaca i dobavljača"/>
      <sheetName val="trans.s pov 2021. pov"/>
      <sheetName val="trans.s pov 2020. pov"/>
      <sheetName val="Obveze prema pov. 31.12.2021."/>
      <sheetName val="usklada obv.s POV 31.12.2021."/>
      <sheetName val="usklada pot.s POV 31.12.2021."/>
      <sheetName val="zaposlenici 2021-2020"/>
      <sheetName val="porez na dobit 31.12.2021."/>
      <sheetName val="MSFI 16 31.12.2021."/>
      <sheetName val="MSFI 2021. CF"/>
      <sheetName val="dug.fin.imovina 31.12.2021."/>
      <sheetName val="dugotrajna potr. 31.12.2021."/>
      <sheetName val="zalihe 31.12.2021."/>
      <sheetName val="krat.potraž.pov.31.12.2021."/>
      <sheetName val="struktura dosp.POV 31.12.2021."/>
      <sheetName val="stru.dosp.ost 31.12.2021."/>
      <sheetName val="pot.od zaposl. 31.12.2021."/>
      <sheetName val="zadržana dobit 31.12.2021"/>
      <sheetName val="radno zadržana dobit 2021."/>
      <sheetName val="radno zadržana dobit 2020."/>
      <sheetName val="radno rezerviranja 2021."/>
      <sheetName val="za Miru - ispravci izvještaja "/>
      <sheetName val="stru.dospj.obvPOV 31.12.2021."/>
      <sheetName val="stru.dosp.obvOST 31.12.2021."/>
      <sheetName val="obveze za zajmove 31.12.2021."/>
      <sheetName val="kratk.obveze banke 31.12.2021."/>
      <sheetName val="radno kratk.obveze banke 2021"/>
      <sheetName val="obv.za predujmove 31.12.2021."/>
      <sheetName val="obv.prema zaposl. 31.12.2021."/>
      <sheetName val="obveze za poreze 31.12.2021."/>
      <sheetName val="kto 2495 na 31.12.2021."/>
      <sheetName val="ostale obveze 31.12.2021."/>
      <sheetName val="izvan bil.zapisi 31.12.2021."/>
    </sheetNames>
    <sheetDataSet>
      <sheetData sheetId="0">
        <row r="8">
          <cell r="C8">
            <v>25060599.18</v>
          </cell>
          <cell r="E8">
            <v>27551287.469999999</v>
          </cell>
        </row>
        <row r="10">
          <cell r="C10">
            <v>1937403267.75</v>
          </cell>
          <cell r="E10">
            <v>1937682481.1500001</v>
          </cell>
        </row>
        <row r="11">
          <cell r="C11">
            <v>6797000546.7399998</v>
          </cell>
          <cell r="E11">
            <v>7017175342.4300003</v>
          </cell>
        </row>
        <row r="12">
          <cell r="C12">
            <v>101407988.09</v>
          </cell>
          <cell r="E12">
            <v>124359680.55</v>
          </cell>
        </row>
        <row r="13">
          <cell r="C13">
            <v>22507931.32</v>
          </cell>
          <cell r="E13">
            <v>28636578.989999998</v>
          </cell>
        </row>
        <row r="14">
          <cell r="C14">
            <v>34263861.95000004</v>
          </cell>
          <cell r="E14">
            <v>39952184.170000002</v>
          </cell>
        </row>
        <row r="15">
          <cell r="C15">
            <v>419189116.49000001</v>
          </cell>
          <cell r="E15">
            <v>493032973.31</v>
          </cell>
        </row>
        <row r="16">
          <cell r="C16">
            <v>4005231440.77</v>
          </cell>
          <cell r="E16">
            <v>3015863322.4000001</v>
          </cell>
        </row>
        <row r="17">
          <cell r="C17">
            <v>67457102.069999993</v>
          </cell>
          <cell r="E17">
            <v>49873604.390000001</v>
          </cell>
        </row>
        <row r="18">
          <cell r="C18">
            <v>13384461255.18</v>
          </cell>
          <cell r="E18">
            <v>12706576167.389997</v>
          </cell>
        </row>
        <row r="56">
          <cell r="E56">
            <v>706358.82</v>
          </cell>
        </row>
      </sheetData>
      <sheetData sheetId="1" refreshError="1"/>
      <sheetData sheetId="2" refreshError="1"/>
      <sheetData sheetId="3">
        <row r="65">
          <cell r="F65">
            <v>1635628.94961</v>
          </cell>
        </row>
      </sheetData>
      <sheetData sheetId="4">
        <row r="16">
          <cell r="H16">
            <v>9658204.5999999996</v>
          </cell>
        </row>
        <row r="17">
          <cell r="H17">
            <v>2501955.62</v>
          </cell>
        </row>
        <row r="74">
          <cell r="H74">
            <v>2742369203.500001</v>
          </cell>
        </row>
        <row r="75">
          <cell r="H75">
            <v>30759991.219999999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G6">
            <v>187836996.96000004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B15">
            <v>7462021.7699999986</v>
          </cell>
        </row>
      </sheetData>
      <sheetData sheetId="38">
        <row r="16">
          <cell r="D16">
            <v>21509938.74000001</v>
          </cell>
        </row>
      </sheetData>
      <sheetData sheetId="39">
        <row r="9">
          <cell r="D9">
            <v>13124775.970000001</v>
          </cell>
        </row>
      </sheetData>
      <sheetData sheetId="40">
        <row r="19">
          <cell r="C19">
            <v>115649919.68999998</v>
          </cell>
        </row>
      </sheetData>
      <sheetData sheetId="41">
        <row r="16">
          <cell r="D16">
            <v>65663500.989999995</v>
          </cell>
        </row>
      </sheetData>
      <sheetData sheetId="42">
        <row r="23">
          <cell r="N23">
            <v>1076840476.7600002</v>
          </cell>
        </row>
      </sheetData>
      <sheetData sheetId="43">
        <row r="10">
          <cell r="D10">
            <v>1240252.7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>
        <row r="28">
          <cell r="C28">
            <v>92712882.799999997</v>
          </cell>
        </row>
        <row r="35">
          <cell r="C35">
            <v>334149406.75999999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34">
          <cell r="D34">
            <v>211041991.93257657</v>
          </cell>
        </row>
        <row r="46">
          <cell r="D46">
            <v>16088019.363931969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149">
          <cell r="M149">
            <v>2869401.3699998856</v>
          </cell>
        </row>
        <row r="150">
          <cell r="M150">
            <v>1256385773.6300001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DG prep. 2018.-2017. KON lp"/>
      <sheetName val="RDG 2019.-2018. prep KON lp"/>
      <sheetName val="za bilj RDG tis kn"/>
      <sheetName val="za GFI POD RDG kn"/>
      <sheetName val="reklasifik.izvj 2017"/>
      <sheetName val="reklasifikacija izv.2018"/>
      <sheetName val="reklasifikacija 2019. u tis kn"/>
      <sheetName val="Bilanca pre 2018-2017 KON lp"/>
      <sheetName val="Bilanca 2019-2018 prep KON lp"/>
      <sheetName val="za GFI POD Bilanca kn 2019"/>
      <sheetName val="List1"/>
      <sheetName val="za bilj Bilanca tis kn"/>
      <sheetName val="Bilanca infra i JD 2019. "/>
      <sheetName val="Bilanca infra+JD 2018 prep"/>
      <sheetName val="Bilanca jd+infra 2018 lp"/>
      <sheetName val="Bilanca jd+infra 2018 kn"/>
      <sheetName val="Bilanca jd+infra 2017 lp prep"/>
      <sheetName val="Bilanca jd+infra 2017 kn prep"/>
      <sheetName val="CF 2019."/>
      <sheetName val="Radno Bilanca - vrem.razg 2019"/>
      <sheetName val="radno Bilanca - vrem.razg"/>
      <sheetName val="CF 2018"/>
      <sheetName val="Izvještaj o prom.kapitala 2019"/>
      <sheetName val="Izvještaj o prom.kapitala 2018"/>
      <sheetName val="Izvj. o prom.kap bilj 2019 kn "/>
      <sheetName val="Izvještaj o prom.kapi bilj kn"/>
      <sheetName val="kapital Mandica 2018."/>
      <sheetName val="kapital revizori 2019. kn"/>
      <sheetName val="kapital revizori 2019."/>
      <sheetName val="Izvj. o prom kapit u tis kn"/>
      <sheetName val="kapitalne rezerve 2019"/>
      <sheetName val="kapitalne rezerve 2018"/>
      <sheetName val="zaposlenici 2018-2019"/>
      <sheetName val="prihod od prod POV 31.12.2019."/>
      <sheetName val="prihod od proda POV 31.12.2018."/>
      <sheetName val="prihod od prod OST 31.12.2019."/>
      <sheetName val="prihod od proda OST 31.12.2018."/>
      <sheetName val="ost.posl.prih POV 31.12.2018."/>
      <sheetName val="ost.posl. prih POV 31.12.2019."/>
      <sheetName val="ost.posl.prih OST 31.12.2019."/>
      <sheetName val="ost.posl.prihodi OST 31.12.2018"/>
      <sheetName val="2017. ost.posl prih-pom"/>
      <sheetName val="materijalni troškovi 31.12.2019"/>
      <sheetName val="materijalni troškovi 2017-pom"/>
      <sheetName val="materijalni troškovi 31.12.2018"/>
      <sheetName val="troškovi osoblja 31.12.2019."/>
      <sheetName val="troškovi osoblja 31.12.2018"/>
      <sheetName val="amortizacija 31.12.2019."/>
      <sheetName val="amortizacija 31.12.2018"/>
      <sheetName val="ostali troškovi 31.12.2019."/>
      <sheetName val="ostali troškovi 31.12.2018"/>
      <sheetName val="ostali troškovi 2017-pom"/>
      <sheetName val="vrijed.usklađenje 31.12.2019."/>
      <sheetName val="vrijed. usklađenje 31.12.2018"/>
      <sheetName val="troško.rezerviranja 31.12.2019."/>
      <sheetName val="troško. rezerviranja 31.12.2018"/>
      <sheetName val="ost.poslovni rash. 31.12.2019."/>
      <sheetName val="ost.poslovni rash. 31.12.2018"/>
      <sheetName val="ost.poslovni rash. 2017-pom"/>
      <sheetName val="financijski prihodi 31.12.2019."/>
      <sheetName val="fin.prihodi 2019-radno"/>
      <sheetName val="financijski prihodi 31.12.2018"/>
      <sheetName val="financijski rashodi 31.12.2019."/>
      <sheetName val="financijski rashodi 31.12.2018"/>
      <sheetName val="porez na dobit 31.12.2019."/>
      <sheetName val="porez na dobit 31.12.2018"/>
      <sheetName val="neplanirana amortizacija 2018"/>
      <sheetName val="f tabela nivo 2019"/>
      <sheetName val="f tabela nivo 2018"/>
      <sheetName val="f tabela nivo bilj 2019"/>
      <sheetName val="f tabela nivo 2018 bilj"/>
      <sheetName val="f tabela JD 2019."/>
      <sheetName val="f tabela JD 2018"/>
      <sheetName val="f tabela JD 2018 bilj"/>
      <sheetName val="f tabela JD bilj 2019."/>
      <sheetName val="f tabela INFRA+EU 2019"/>
      <sheetName val="f tabela INFRA+EU 2018"/>
      <sheetName val="f tabela INFRA 2018 bilj"/>
      <sheetName val="f tabela INFRA+EU bilj 2019"/>
      <sheetName val="f tabela stambeno 2018"/>
      <sheetName val="f tabela stambeno 2019."/>
      <sheetName val="MSFI 16 31.12.2019."/>
      <sheetName val="dug.fin.imovina 31.12.2019."/>
      <sheetName val="dug.fin.imovina 31.12.2018"/>
      <sheetName val="dugotrajna potr. 31.12.2019."/>
      <sheetName val="dugotrajna potr. 31.12.2018"/>
      <sheetName val="zalihe 31.12.2019."/>
      <sheetName val="zalihe 31.12.2018"/>
      <sheetName val="List2"/>
      <sheetName val="HŽC radno"/>
      <sheetName val="krat.potraž.pov. 31.12.2019."/>
      <sheetName val="radno - pov potr"/>
      <sheetName val="krat.potraž. pov. 31.12.2018"/>
      <sheetName val="struktura dosp.POV 31.12.2019."/>
      <sheetName val="struktura dosp.POV 31.12.2018"/>
      <sheetName val="usklada pot.s POV 31.12.2019."/>
      <sheetName val="usklada pot. s POV 31.12.2018"/>
      <sheetName val="IV potraživanja 31.12.2019."/>
      <sheetName val="IV potraživanja 31.12.2018. "/>
      <sheetName val="stru.dosp.ost 31.12.2019."/>
      <sheetName val="stru.dosp.ost 31.12.2018"/>
      <sheetName val="pot.od zaposl. 31.12.2019."/>
      <sheetName val="pot.od zaposl. 31.12.2018"/>
      <sheetName val="pot. od države 31.12.2019."/>
      <sheetName val="pot.od države 31.12.2018"/>
      <sheetName val="ostala potraživanja 31.12.2019."/>
      <sheetName val="ostala potraživanja 31.12.2018"/>
      <sheetName val="dani zajmovi 31.12.2019."/>
      <sheetName val="dani zajmovi 31.12.2018"/>
      <sheetName val="novac 31.12.2019"/>
      <sheetName val="novac 31.12.2018"/>
      <sheetName val="pla.troš.buduć.razd. 31.12.2019"/>
      <sheetName val="pla.troš.buduć.razd. 31.12.2018"/>
      <sheetName val="rezerviranja 31.12.2019."/>
      <sheetName val="rezerviranja 31.12.2018"/>
      <sheetName val="radno rezerviranja 2019"/>
      <sheetName val="radno rezerviranja 2018"/>
      <sheetName val="obveze prema bankama 31.12.2019"/>
      <sheetName val="obveze prema bankama 31.12.2018"/>
      <sheetName val="šifre kupaca i dob"/>
      <sheetName val="Obveze prema pov. 31.12.2019."/>
      <sheetName val="obveze prema pov. 31.12.2018"/>
      <sheetName val="stru.dospj.obvPOV 31.12.2019."/>
      <sheetName val="stru. dosp. obvPOV 31.12.2018"/>
      <sheetName val="struktura dosp.OST 31.12.2018"/>
      <sheetName val="stru.dosp.obvOST 31.12.2019."/>
      <sheetName val="usklada obveza POV 31.12.2019."/>
      <sheetName val="usklada obveza POV 31.12.2018"/>
      <sheetName val="obveze za zajmove 31.12.2019."/>
      <sheetName val="obveze za zajmove 31.12.2018"/>
      <sheetName val="kratk.obveze banke 31.12.2019."/>
      <sheetName val="kratk.obveza banke 31.12.2018"/>
      <sheetName val="radno kratk.obveze banke 2019"/>
      <sheetName val="radno kratk.obveze banke"/>
      <sheetName val="obv.za predujmove 31.12.2019."/>
      <sheetName val="obv. za predujmove 31.12.2018"/>
      <sheetName val="obv.prema zaposl. 31.12.2019."/>
      <sheetName val="obv.prema zaposl. 31.12.2018"/>
      <sheetName val="obveze za poreze 31.12.2019."/>
      <sheetName val="obv. za poreze  31.12.2018"/>
      <sheetName val="ostale obveze 31.12.2019."/>
      <sheetName val="kto 2495 na 31.12.2019"/>
      <sheetName val="ostale obveze 31.12.2018"/>
      <sheetName val="kto 2652 na 31.12.2018."/>
      <sheetName val="kto 2495 31.12.2018"/>
      <sheetName val="odg.pla.troš 31.12.2019"/>
      <sheetName val="odg.pla.troš. 31.12.2018"/>
      <sheetName val="izvan bil.zapisi 31.12.2019."/>
      <sheetName val="izvan.bil.zapisi 31.12.2018"/>
      <sheetName val="ugovori EU 31.12.2019."/>
      <sheetName val="ugovori EU 31.12.2018"/>
      <sheetName val="trans.s pov 2019. pov"/>
      <sheetName val="trans.s pov 2018 prep"/>
      <sheetName val="trans. s pov 2018"/>
      <sheetName val="trans. s pov 2017 prep"/>
    </sheetNames>
    <sheetDataSet>
      <sheetData sheetId="0"/>
      <sheetData sheetId="1">
        <row r="4">
          <cell r="C4">
            <v>135759071.22999999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6">
          <cell r="G6">
            <v>57357513.520000003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3">
          <cell r="E23">
            <v>3073737.2799999714</v>
          </cell>
        </row>
      </sheetData>
      <sheetData sheetId="32"/>
      <sheetData sheetId="33">
        <row r="6">
          <cell r="C6">
            <v>95998386.879999995</v>
          </cell>
        </row>
      </sheetData>
      <sheetData sheetId="34"/>
      <sheetData sheetId="35">
        <row r="6">
          <cell r="D6">
            <v>20801308.800000001</v>
          </cell>
        </row>
      </sheetData>
      <sheetData sheetId="36"/>
      <sheetData sheetId="37"/>
      <sheetData sheetId="38">
        <row r="7">
          <cell r="D7">
            <v>1157190</v>
          </cell>
        </row>
      </sheetData>
      <sheetData sheetId="39">
        <row r="6">
          <cell r="D6">
            <v>445000000</v>
          </cell>
        </row>
      </sheetData>
      <sheetData sheetId="40"/>
      <sheetData sheetId="41"/>
      <sheetData sheetId="42">
        <row r="3">
          <cell r="D3">
            <v>37543973.909999996</v>
          </cell>
        </row>
      </sheetData>
      <sheetData sheetId="43"/>
      <sheetData sheetId="44"/>
      <sheetData sheetId="45">
        <row r="3">
          <cell r="D3">
            <v>412010475.88999999</v>
          </cell>
        </row>
      </sheetData>
      <sheetData sheetId="46"/>
      <sheetData sheetId="47">
        <row r="4">
          <cell r="D4">
            <v>14736184.23</v>
          </cell>
        </row>
      </sheetData>
      <sheetData sheetId="48"/>
      <sheetData sheetId="49">
        <row r="4">
          <cell r="C4">
            <v>3008114.7</v>
          </cell>
        </row>
        <row r="35">
          <cell r="B35" t="str">
            <v>Vodoprivredna naknada i sl. - povezana društva</v>
          </cell>
        </row>
        <row r="38">
          <cell r="B38" t="str">
            <v>Ostali troškovi - povezana društva</v>
          </cell>
        </row>
      </sheetData>
      <sheetData sheetId="50"/>
      <sheetData sheetId="51"/>
      <sheetData sheetId="52">
        <row r="4">
          <cell r="B4">
            <v>52551337.469999999</v>
          </cell>
        </row>
      </sheetData>
      <sheetData sheetId="53"/>
      <sheetData sheetId="54">
        <row r="3">
          <cell r="D3">
            <v>5775047</v>
          </cell>
        </row>
      </sheetData>
      <sheetData sheetId="55"/>
      <sheetData sheetId="56">
        <row r="4">
          <cell r="D4">
            <v>372945.56</v>
          </cell>
        </row>
      </sheetData>
      <sheetData sheetId="57"/>
      <sheetData sheetId="58"/>
      <sheetData sheetId="59">
        <row r="6">
          <cell r="D6">
            <v>271312.25000000006</v>
          </cell>
        </row>
      </sheetData>
      <sheetData sheetId="60"/>
      <sheetData sheetId="61"/>
      <sheetData sheetId="62">
        <row r="5">
          <cell r="D5">
            <v>436167.16000000003</v>
          </cell>
        </row>
      </sheetData>
      <sheetData sheetId="63"/>
      <sheetData sheetId="64">
        <row r="6">
          <cell r="D6">
            <v>466574.23999977112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6">
          <cell r="C6">
            <v>60683943.169999987</v>
          </cell>
        </row>
      </sheetData>
      <sheetData sheetId="83"/>
      <sheetData sheetId="84">
        <row r="5">
          <cell r="C5">
            <v>19760184.600000001</v>
          </cell>
        </row>
      </sheetData>
      <sheetData sheetId="85"/>
      <sheetData sheetId="86">
        <row r="5">
          <cell r="C5">
            <v>108103395.72</v>
          </cell>
        </row>
      </sheetData>
      <sheetData sheetId="87"/>
      <sheetData sheetId="88"/>
      <sheetData sheetId="89"/>
      <sheetData sheetId="90">
        <row r="7">
          <cell r="D7">
            <v>6476084.3200000003</v>
          </cell>
        </row>
      </sheetData>
      <sheetData sheetId="91"/>
      <sheetData sheetId="92"/>
      <sheetData sheetId="93"/>
      <sheetData sheetId="94"/>
      <sheetData sheetId="95">
        <row r="7">
          <cell r="B7">
            <v>179884.5</v>
          </cell>
        </row>
      </sheetData>
      <sheetData sheetId="96"/>
      <sheetData sheetId="97"/>
      <sheetData sheetId="98"/>
      <sheetData sheetId="99"/>
      <sheetData sheetId="100"/>
      <sheetData sheetId="101">
        <row r="6">
          <cell r="D6">
            <v>6774044.21</v>
          </cell>
        </row>
      </sheetData>
      <sheetData sheetId="102"/>
      <sheetData sheetId="103">
        <row r="5">
          <cell r="D5">
            <v>300923356.77999997</v>
          </cell>
        </row>
      </sheetData>
      <sheetData sheetId="104"/>
      <sheetData sheetId="105">
        <row r="8">
          <cell r="D8">
            <v>9489273.8000000007</v>
          </cell>
        </row>
      </sheetData>
      <sheetData sheetId="106"/>
      <sheetData sheetId="107">
        <row r="7">
          <cell r="B7">
            <v>14233582.130000001</v>
          </cell>
        </row>
      </sheetData>
      <sheetData sheetId="108"/>
      <sheetData sheetId="109">
        <row r="8">
          <cell r="D8">
            <v>77003884.75</v>
          </cell>
        </row>
      </sheetData>
      <sheetData sheetId="110"/>
      <sheetData sheetId="111">
        <row r="16">
          <cell r="C16">
            <v>2788460.97</v>
          </cell>
        </row>
      </sheetData>
      <sheetData sheetId="112"/>
      <sheetData sheetId="113">
        <row r="6">
          <cell r="D6">
            <v>97688340.169999987</v>
          </cell>
        </row>
      </sheetData>
      <sheetData sheetId="114"/>
      <sheetData sheetId="115"/>
      <sheetData sheetId="116"/>
      <sheetData sheetId="117">
        <row r="10">
          <cell r="C10">
            <v>0</v>
          </cell>
        </row>
      </sheetData>
      <sheetData sheetId="118"/>
      <sheetData sheetId="119"/>
      <sheetData sheetId="120">
        <row r="6">
          <cell r="C6">
            <v>78855480.870000005</v>
          </cell>
        </row>
      </sheetData>
      <sheetData sheetId="121"/>
      <sheetData sheetId="122"/>
      <sheetData sheetId="123"/>
      <sheetData sheetId="124"/>
      <sheetData sheetId="125"/>
      <sheetData sheetId="126">
        <row r="5">
          <cell r="E5">
            <v>430375.16</v>
          </cell>
        </row>
      </sheetData>
      <sheetData sheetId="127"/>
      <sheetData sheetId="128">
        <row r="6">
          <cell r="C6">
            <v>4389447.42</v>
          </cell>
        </row>
      </sheetData>
      <sheetData sheetId="129"/>
      <sheetData sheetId="130">
        <row r="5">
          <cell r="B5">
            <v>149440239.75999999</v>
          </cell>
        </row>
      </sheetData>
      <sheetData sheetId="131"/>
      <sheetData sheetId="132">
        <row r="48">
          <cell r="H48" t="str">
            <v>IBRD otplata</v>
          </cell>
        </row>
      </sheetData>
      <sheetData sheetId="133"/>
      <sheetData sheetId="134">
        <row r="6">
          <cell r="C6">
            <v>360348.31999999995</v>
          </cell>
        </row>
      </sheetData>
      <sheetData sheetId="135"/>
      <sheetData sheetId="136">
        <row r="6">
          <cell r="C6">
            <v>33017938.75</v>
          </cell>
        </row>
      </sheetData>
      <sheetData sheetId="137"/>
      <sheetData sheetId="138">
        <row r="6">
          <cell r="D6">
            <v>9960856.8999999985</v>
          </cell>
        </row>
      </sheetData>
      <sheetData sheetId="139"/>
      <sheetData sheetId="140">
        <row r="37">
          <cell r="C37">
            <v>396244.75</v>
          </cell>
        </row>
      </sheetData>
      <sheetData sheetId="141">
        <row r="103">
          <cell r="J103">
            <v>-1001934658.76</v>
          </cell>
        </row>
      </sheetData>
      <sheetData sheetId="142"/>
      <sheetData sheetId="143"/>
      <sheetData sheetId="144"/>
      <sheetData sheetId="145">
        <row r="6">
          <cell r="C6">
            <v>151343039.86999989</v>
          </cell>
        </row>
      </sheetData>
      <sheetData sheetId="146"/>
      <sheetData sheetId="147">
        <row r="7">
          <cell r="D7">
            <v>767762144.96000004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../Content.Outlook/A09Z5LQR/Model%20HZI%202021%202020.xlsx" TargetMode="External"/><Relationship Id="rId2" Type="http://schemas.openxmlformats.org/officeDocument/2006/relationships/hyperlink" Target="../Content.Outlook/A09Z5LQR/Model%20HZI%202021%202020.xlsx" TargetMode="External"/><Relationship Id="rId1" Type="http://schemas.openxmlformats.org/officeDocument/2006/relationships/hyperlink" Target="../Content.Outlook/A09Z5LQR/Model%20HZI%202021%202020.xlsx" TargetMode="External"/><Relationship Id="rId4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F2C6-2906-44C5-B4AA-6CB0361E4935}">
  <dimension ref="B1:E64"/>
  <sheetViews>
    <sheetView zoomScale="80" zoomScaleNormal="80" workbookViewId="0">
      <selection activeCell="A29" sqref="A29"/>
    </sheetView>
  </sheetViews>
  <sheetFormatPr defaultRowHeight="13.8"/>
  <cols>
    <col min="1" max="1" width="3.109375" style="322" customWidth="1"/>
    <col min="2" max="2" width="53.77734375" style="322" bestFit="1" customWidth="1"/>
    <col min="3" max="3" width="20.6640625" style="322" customWidth="1"/>
    <col min="4" max="5" width="17.33203125" style="322" bestFit="1" customWidth="1"/>
    <col min="6" max="16384" width="8.88671875" style="322"/>
  </cols>
  <sheetData>
    <row r="1" spans="2:5" ht="14.4" thickBot="1"/>
    <row r="2" spans="2:5">
      <c r="B2" s="862"/>
      <c r="C2" s="863" t="s">
        <v>911</v>
      </c>
      <c r="D2" s="864" t="s">
        <v>939</v>
      </c>
      <c r="E2" s="864" t="s">
        <v>940</v>
      </c>
    </row>
    <row r="3" spans="2:5">
      <c r="B3" s="865"/>
      <c r="C3" s="860"/>
      <c r="D3" s="866"/>
      <c r="E3" s="887"/>
    </row>
    <row r="4" spans="2:5">
      <c r="B4" s="865" t="s">
        <v>910</v>
      </c>
      <c r="C4" s="860">
        <v>4663</v>
      </c>
      <c r="D4" s="866"/>
      <c r="E4" s="887"/>
    </row>
    <row r="5" spans="2:5">
      <c r="B5" s="865"/>
      <c r="C5" s="860"/>
      <c r="D5" s="866"/>
      <c r="E5" s="887"/>
    </row>
    <row r="6" spans="2:5">
      <c r="B6" s="875" t="s">
        <v>913</v>
      </c>
      <c r="C6" s="885">
        <f>'UI-A'!K19</f>
        <v>163625136.71000001</v>
      </c>
      <c r="D6" s="886">
        <f>'UI-A'!E20</f>
        <v>0</v>
      </c>
      <c r="E6" s="888" t="e">
        <f>C6/D6-1</f>
        <v>#DIV/0!</v>
      </c>
    </row>
    <row r="7" spans="2:5">
      <c r="B7" s="875" t="s">
        <v>914</v>
      </c>
      <c r="C7" s="885">
        <f>'UO-A'!K20</f>
        <v>163625136.71000001</v>
      </c>
      <c r="D7" s="886">
        <f>'UO-A'!E20</f>
        <v>0</v>
      </c>
      <c r="E7" s="888" t="e">
        <f>C7/D7-1</f>
        <v>#DIV/0!</v>
      </c>
    </row>
    <row r="8" spans="2:5">
      <c r="B8" s="865"/>
      <c r="C8" s="860"/>
      <c r="D8" s="866"/>
      <c r="E8" s="887"/>
    </row>
    <row r="9" spans="2:5">
      <c r="B9" s="865" t="s">
        <v>920</v>
      </c>
      <c r="C9" s="861">
        <f>RDG!D4</f>
        <v>115649919.68999998</v>
      </c>
      <c r="D9" s="866"/>
      <c r="E9" s="887"/>
    </row>
    <row r="10" spans="2:5">
      <c r="B10" s="865" t="s">
        <v>919</v>
      </c>
      <c r="C10" s="861">
        <f>RDG!D5</f>
        <v>64598807.859999999</v>
      </c>
      <c r="D10" s="866"/>
      <c r="E10" s="887"/>
    </row>
    <row r="11" spans="2:5">
      <c r="B11" s="865" t="s">
        <v>922</v>
      </c>
      <c r="C11" s="861">
        <f>RDG!D6+RDG!D7</f>
        <v>10872565.029999999</v>
      </c>
      <c r="D11" s="866"/>
      <c r="E11" s="887"/>
    </row>
    <row r="12" spans="2:5">
      <c r="B12" s="865" t="s">
        <v>921</v>
      </c>
      <c r="C12" s="861">
        <f>P!E55+P!E57+P!E58+P!E59</f>
        <v>1003385794.2099999</v>
      </c>
      <c r="D12" s="866"/>
      <c r="E12" s="887"/>
    </row>
    <row r="13" spans="2:5">
      <c r="B13" s="865" t="s">
        <v>915</v>
      </c>
      <c r="C13" s="861">
        <f>RDG!D11-C12</f>
        <v>264575975.13</v>
      </c>
      <c r="D13" s="866"/>
      <c r="E13" s="887"/>
    </row>
    <row r="14" spans="2:5">
      <c r="B14" s="865" t="s">
        <v>916</v>
      </c>
      <c r="C14" s="861">
        <f>RDG!D11</f>
        <v>1267961769.3399999</v>
      </c>
      <c r="D14" s="866"/>
      <c r="E14" s="887"/>
    </row>
    <row r="15" spans="2:5">
      <c r="B15" s="865" t="s">
        <v>917</v>
      </c>
      <c r="C15" s="861">
        <f>RDG!D26-RDG!D23-RDG!D22-RDG!D21</f>
        <v>1145164123.8099999</v>
      </c>
      <c r="D15" s="866"/>
      <c r="E15" s="887"/>
    </row>
    <row r="16" spans="2:5" ht="14.4" thickBot="1">
      <c r="B16" s="867" t="s">
        <v>918</v>
      </c>
      <c r="C16" s="868">
        <f>C14-C15</f>
        <v>122797645.52999997</v>
      </c>
      <c r="D16" s="869"/>
      <c r="E16" s="889"/>
    </row>
    <row r="17" spans="2:5" ht="14.4" thickBot="1"/>
    <row r="18" spans="2:5">
      <c r="B18" s="872" t="s">
        <v>721</v>
      </c>
      <c r="C18" s="873">
        <f>C10/C4</f>
        <v>13853.486566588033</v>
      </c>
      <c r="D18" s="874"/>
      <c r="E18" s="890" t="e">
        <f>C18/D18-1</f>
        <v>#DIV/0!</v>
      </c>
    </row>
    <row r="19" spans="2:5">
      <c r="B19" s="875" t="s">
        <v>722</v>
      </c>
      <c r="C19" s="871">
        <f>C10/C15</f>
        <v>5.641008700576261E-2</v>
      </c>
      <c r="D19" s="876"/>
      <c r="E19" s="891" t="e">
        <f t="shared" ref="E19:E21" si="0">C19/D19-1</f>
        <v>#DIV/0!</v>
      </c>
    </row>
    <row r="20" spans="2:5">
      <c r="B20" s="875" t="s">
        <v>923</v>
      </c>
      <c r="C20" s="871">
        <f>(C9+C10)/C14</f>
        <v>0.14215627939935693</v>
      </c>
      <c r="D20" s="876"/>
      <c r="E20" s="891" t="e">
        <f t="shared" si="0"/>
        <v>#DIV/0!</v>
      </c>
    </row>
    <row r="21" spans="2:5" ht="14.4" thickBot="1">
      <c r="B21" s="877" t="s">
        <v>730</v>
      </c>
      <c r="C21" s="878">
        <f>C12/C14</f>
        <v>0.79133757694625351</v>
      </c>
      <c r="D21" s="879"/>
      <c r="E21" s="892" t="e">
        <f t="shared" si="0"/>
        <v>#DIV/0!</v>
      </c>
    </row>
    <row r="22" spans="2:5" ht="14.4" thickBot="1"/>
    <row r="23" spans="2:5">
      <c r="B23" s="862" t="s">
        <v>725</v>
      </c>
      <c r="C23" s="863"/>
      <c r="D23" s="880">
        <f>KPI!G17</f>
        <v>4422</v>
      </c>
      <c r="E23" s="890">
        <f>C23/D23-1</f>
        <v>-1</v>
      </c>
    </row>
    <row r="24" spans="2:5">
      <c r="B24" s="865" t="s">
        <v>709</v>
      </c>
      <c r="C24" s="860"/>
      <c r="D24" s="881">
        <f>KPI!G7</f>
        <v>2.5999999999999999E-3</v>
      </c>
      <c r="E24" s="891">
        <f t="shared" ref="E24:E26" si="1">C24/D24-1</f>
        <v>-1</v>
      </c>
    </row>
    <row r="25" spans="2:5">
      <c r="B25" s="865" t="s">
        <v>711</v>
      </c>
      <c r="C25" s="860"/>
      <c r="D25" s="866">
        <f>KPI!G11</f>
        <v>140</v>
      </c>
      <c r="E25" s="891">
        <f t="shared" si="1"/>
        <v>-1</v>
      </c>
    </row>
    <row r="26" spans="2:5" ht="14.4" thickBot="1">
      <c r="B26" s="867" t="s">
        <v>710</v>
      </c>
      <c r="C26" s="882"/>
      <c r="D26" s="869">
        <f>KPI!G9</f>
        <v>5.75</v>
      </c>
      <c r="E26" s="892">
        <f t="shared" si="1"/>
        <v>-1</v>
      </c>
    </row>
    <row r="27" spans="2:5" ht="14.4" thickBot="1"/>
    <row r="28" spans="2:5">
      <c r="B28" s="872" t="s">
        <v>723</v>
      </c>
      <c r="C28" s="883"/>
      <c r="D28" s="874"/>
      <c r="E28" s="874"/>
    </row>
    <row r="29" spans="2:5" ht="14.4" thickBot="1">
      <c r="B29" s="877" t="s">
        <v>724</v>
      </c>
      <c r="C29" s="884"/>
      <c r="D29" s="879"/>
      <c r="E29" s="879"/>
    </row>
    <row r="31" spans="2:5">
      <c r="B31" s="322" t="s">
        <v>941</v>
      </c>
    </row>
    <row r="32" spans="2:5" ht="14.4" thickBot="1"/>
    <row r="33" spans="2:5">
      <c r="B33" s="897" t="s">
        <v>942</v>
      </c>
      <c r="C33" s="883"/>
      <c r="D33" s="883"/>
      <c r="E33" s="874"/>
    </row>
    <row r="34" spans="2:5">
      <c r="B34" s="875" t="s">
        <v>943</v>
      </c>
      <c r="C34" s="870"/>
      <c r="D34" s="870"/>
      <c r="E34" s="876"/>
    </row>
    <row r="35" spans="2:5">
      <c r="B35" s="875" t="s">
        <v>944</v>
      </c>
      <c r="C35" s="870"/>
      <c r="D35" s="870"/>
      <c r="E35" s="876"/>
    </row>
    <row r="36" spans="2:5">
      <c r="B36" s="875" t="s">
        <v>945</v>
      </c>
      <c r="C36" s="870"/>
      <c r="D36" s="870"/>
      <c r="E36" s="876"/>
    </row>
    <row r="37" spans="2:5">
      <c r="B37" s="875" t="s">
        <v>946</v>
      </c>
      <c r="C37" s="870"/>
      <c r="D37" s="870"/>
      <c r="E37" s="876"/>
    </row>
    <row r="38" spans="2:5">
      <c r="B38" s="875"/>
      <c r="C38" s="870"/>
      <c r="D38" s="870"/>
      <c r="E38" s="876"/>
    </row>
    <row r="39" spans="2:5">
      <c r="B39" s="893" t="s">
        <v>947</v>
      </c>
      <c r="C39" s="870"/>
      <c r="D39" s="870"/>
      <c r="E39" s="876"/>
    </row>
    <row r="40" spans="2:5">
      <c r="B40" s="875" t="s">
        <v>948</v>
      </c>
      <c r="C40" s="870"/>
      <c r="D40" s="870"/>
      <c r="E40" s="876"/>
    </row>
    <row r="41" spans="2:5">
      <c r="B41" s="875" t="s">
        <v>949</v>
      </c>
      <c r="C41" s="870"/>
      <c r="D41" s="870"/>
      <c r="E41" s="876"/>
    </row>
    <row r="42" spans="2:5">
      <c r="B42" s="875" t="s">
        <v>950</v>
      </c>
      <c r="C42" s="870"/>
      <c r="D42" s="870"/>
      <c r="E42" s="876"/>
    </row>
    <row r="43" spans="2:5">
      <c r="B43" s="875" t="s">
        <v>951</v>
      </c>
      <c r="C43" s="870"/>
      <c r="D43" s="870"/>
      <c r="E43" s="876"/>
    </row>
    <row r="44" spans="2:5">
      <c r="B44" s="875" t="s">
        <v>952</v>
      </c>
      <c r="C44" s="870"/>
      <c r="D44" s="870"/>
      <c r="E44" s="876"/>
    </row>
    <row r="45" spans="2:5">
      <c r="B45" s="875"/>
      <c r="C45" s="870"/>
      <c r="D45" s="870"/>
      <c r="E45" s="876"/>
    </row>
    <row r="46" spans="2:5">
      <c r="B46" s="893" t="s">
        <v>969</v>
      </c>
      <c r="C46" s="870"/>
      <c r="D46" s="870"/>
      <c r="E46" s="876"/>
    </row>
    <row r="47" spans="2:5">
      <c r="B47" s="875" t="s">
        <v>953</v>
      </c>
      <c r="C47" s="870"/>
      <c r="D47" s="870"/>
      <c r="E47" s="876"/>
    </row>
    <row r="48" spans="2:5">
      <c r="B48" s="875" t="s">
        <v>954</v>
      </c>
      <c r="C48" s="870"/>
      <c r="D48" s="870"/>
      <c r="E48" s="876"/>
    </row>
    <row r="49" spans="2:5" s="325" customFormat="1" ht="11.4">
      <c r="B49" s="894" t="s">
        <v>955</v>
      </c>
      <c r="C49" s="895"/>
      <c r="D49" s="895"/>
      <c r="E49" s="896"/>
    </row>
    <row r="50" spans="2:5" s="325" customFormat="1" ht="11.4">
      <c r="B50" s="894" t="s">
        <v>956</v>
      </c>
      <c r="C50" s="895"/>
      <c r="D50" s="895"/>
      <c r="E50" s="896"/>
    </row>
    <row r="51" spans="2:5" s="325" customFormat="1" ht="11.4">
      <c r="B51" s="894" t="s">
        <v>957</v>
      </c>
      <c r="C51" s="895"/>
      <c r="D51" s="895"/>
      <c r="E51" s="896"/>
    </row>
    <row r="52" spans="2:5" s="325" customFormat="1" ht="11.4">
      <c r="B52" s="894" t="s">
        <v>958</v>
      </c>
      <c r="C52" s="895"/>
      <c r="D52" s="895"/>
      <c r="E52" s="896"/>
    </row>
    <row r="53" spans="2:5" s="325" customFormat="1" ht="11.4">
      <c r="B53" s="894" t="s">
        <v>959</v>
      </c>
      <c r="C53" s="895"/>
      <c r="D53" s="895"/>
      <c r="E53" s="896"/>
    </row>
    <row r="54" spans="2:5" s="325" customFormat="1" ht="11.4">
      <c r="B54" s="894" t="s">
        <v>960</v>
      </c>
      <c r="C54" s="895"/>
      <c r="D54" s="895"/>
      <c r="E54" s="896"/>
    </row>
    <row r="55" spans="2:5" s="325" customFormat="1" ht="11.4">
      <c r="B55" s="894" t="s">
        <v>961</v>
      </c>
      <c r="C55" s="895"/>
      <c r="D55" s="895"/>
      <c r="E55" s="896"/>
    </row>
    <row r="56" spans="2:5">
      <c r="B56" s="875"/>
      <c r="C56" s="870"/>
      <c r="D56" s="870"/>
      <c r="E56" s="876"/>
    </row>
    <row r="57" spans="2:5">
      <c r="B57" s="893" t="s">
        <v>962</v>
      </c>
      <c r="C57" s="870"/>
      <c r="D57" s="870"/>
      <c r="E57" s="876"/>
    </row>
    <row r="58" spans="2:5">
      <c r="B58" s="875" t="s">
        <v>963</v>
      </c>
      <c r="C58" s="870"/>
      <c r="D58" s="870"/>
      <c r="E58" s="876"/>
    </row>
    <row r="59" spans="2:5">
      <c r="B59" s="875" t="s">
        <v>964</v>
      </c>
      <c r="C59" s="870"/>
      <c r="D59" s="870"/>
      <c r="E59" s="876"/>
    </row>
    <row r="60" spans="2:5">
      <c r="B60" s="875" t="s">
        <v>965</v>
      </c>
      <c r="C60" s="870"/>
      <c r="D60" s="870"/>
      <c r="E60" s="876"/>
    </row>
    <row r="61" spans="2:5">
      <c r="B61" s="875"/>
      <c r="C61" s="870"/>
      <c r="D61" s="870"/>
      <c r="E61" s="876"/>
    </row>
    <row r="62" spans="2:5">
      <c r="B62" s="893" t="s">
        <v>966</v>
      </c>
      <c r="C62" s="870"/>
      <c r="D62" s="870"/>
      <c r="E62" s="876"/>
    </row>
    <row r="63" spans="2:5">
      <c r="B63" s="875" t="s">
        <v>967</v>
      </c>
      <c r="C63" s="870"/>
      <c r="D63" s="870"/>
      <c r="E63" s="876"/>
    </row>
    <row r="64" spans="2:5" ht="14.4" thickBot="1">
      <c r="B64" s="877" t="s">
        <v>968</v>
      </c>
      <c r="C64" s="884"/>
      <c r="D64" s="884"/>
      <c r="E64" s="87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7D933-29B2-404B-9262-246C389C2122}">
  <dimension ref="A1:L22"/>
  <sheetViews>
    <sheetView workbookViewId="0">
      <selection activeCell="A2" sqref="A2:A3"/>
    </sheetView>
  </sheetViews>
  <sheetFormatPr defaultRowHeight="14.4"/>
  <cols>
    <col min="1" max="1" width="4" bestFit="1" customWidth="1"/>
    <col min="2" max="2" width="28.6640625" customWidth="1"/>
    <col min="3" max="5" width="16.5546875" customWidth="1"/>
    <col min="6" max="6" width="18.6640625" customWidth="1"/>
    <col min="7" max="8" width="16.5546875" customWidth="1"/>
    <col min="9" max="9" width="18" customWidth="1"/>
    <col min="10" max="10" width="20.21875" customWidth="1"/>
    <col min="11" max="12" width="18.88671875" customWidth="1"/>
  </cols>
  <sheetData>
    <row r="1" spans="1:12">
      <c r="C1" s="232" t="s">
        <v>732</v>
      </c>
      <c r="D1" s="232" t="s">
        <v>731</v>
      </c>
      <c r="E1" s="232" t="s">
        <v>733</v>
      </c>
      <c r="F1" s="232" t="s">
        <v>731</v>
      </c>
      <c r="G1" s="232" t="s">
        <v>731</v>
      </c>
      <c r="H1" s="232" t="s">
        <v>733</v>
      </c>
      <c r="I1" s="232" t="s">
        <v>731</v>
      </c>
      <c r="J1" s="232" t="s">
        <v>731</v>
      </c>
      <c r="K1" s="232" t="s">
        <v>733</v>
      </c>
      <c r="L1" s="232" t="s">
        <v>731</v>
      </c>
    </row>
    <row r="2" spans="1:12" s="77" customFormat="1" ht="14.4" customHeight="1">
      <c r="A2" s="1112" t="s">
        <v>617</v>
      </c>
      <c r="B2" s="1103" t="s">
        <v>618</v>
      </c>
      <c r="C2" s="1109" t="s">
        <v>736</v>
      </c>
      <c r="D2" s="1107" t="s">
        <v>619</v>
      </c>
      <c r="E2" s="146" t="s">
        <v>625</v>
      </c>
      <c r="F2" s="1109" t="s">
        <v>629</v>
      </c>
      <c r="G2" s="1107" t="s">
        <v>620</v>
      </c>
      <c r="H2" s="1099" t="s">
        <v>624</v>
      </c>
      <c r="I2" s="1109" t="s">
        <v>630</v>
      </c>
      <c r="J2" s="1107" t="s">
        <v>627</v>
      </c>
      <c r="K2" s="1099" t="s">
        <v>628</v>
      </c>
      <c r="L2" s="1109" t="s">
        <v>621</v>
      </c>
    </row>
    <row r="3" spans="1:12" s="77" customFormat="1">
      <c r="A3" s="1113"/>
      <c r="B3" s="1104"/>
      <c r="C3" s="1110"/>
      <c r="D3" s="1108"/>
      <c r="E3" s="147" t="s">
        <v>626</v>
      </c>
      <c r="F3" s="1110"/>
      <c r="G3" s="1108"/>
      <c r="H3" s="1100"/>
      <c r="I3" s="1110"/>
      <c r="J3" s="1108"/>
      <c r="K3" s="1111"/>
      <c r="L3" s="1110"/>
    </row>
    <row r="4" spans="1:12">
      <c r="A4" s="101" t="s">
        <v>632</v>
      </c>
      <c r="C4" s="105"/>
      <c r="D4" s="101"/>
      <c r="F4" s="105"/>
      <c r="G4" s="101"/>
      <c r="I4" s="105"/>
      <c r="J4" s="101">
        <f>G4-D4</f>
        <v>0</v>
      </c>
      <c r="K4">
        <f>H4-E4</f>
        <v>0</v>
      </c>
      <c r="L4" s="105">
        <f>I4-F4</f>
        <v>0</v>
      </c>
    </row>
    <row r="5" spans="1:12">
      <c r="A5" s="101" t="s">
        <v>632</v>
      </c>
      <c r="C5" s="105"/>
      <c r="D5" s="101"/>
      <c r="F5" s="105"/>
      <c r="G5" s="101"/>
      <c r="I5" s="105"/>
      <c r="J5" s="101">
        <f t="shared" ref="J5:J19" si="0">G5-D5</f>
        <v>0</v>
      </c>
      <c r="K5">
        <f t="shared" ref="K5:K19" si="1">H5-E5</f>
        <v>0</v>
      </c>
      <c r="L5" s="105">
        <f t="shared" ref="L5:L19" si="2">I5-F5</f>
        <v>0</v>
      </c>
    </row>
    <row r="6" spans="1:12">
      <c r="A6" s="101" t="s">
        <v>632</v>
      </c>
      <c r="C6" s="105"/>
      <c r="D6" s="101"/>
      <c r="F6" s="105"/>
      <c r="G6" s="101"/>
      <c r="I6" s="105"/>
      <c r="J6" s="101">
        <f t="shared" si="0"/>
        <v>0</v>
      </c>
      <c r="K6">
        <f t="shared" si="1"/>
        <v>0</v>
      </c>
      <c r="L6" s="105">
        <f t="shared" si="2"/>
        <v>0</v>
      </c>
    </row>
    <row r="7" spans="1:12">
      <c r="A7" s="101" t="s">
        <v>632</v>
      </c>
      <c r="C7" s="105"/>
      <c r="D7" s="101"/>
      <c r="F7" s="105"/>
      <c r="G7" s="101"/>
      <c r="I7" s="105"/>
      <c r="J7" s="101">
        <f t="shared" si="0"/>
        <v>0</v>
      </c>
      <c r="K7">
        <f t="shared" si="1"/>
        <v>0</v>
      </c>
      <c r="L7" s="105">
        <f t="shared" si="2"/>
        <v>0</v>
      </c>
    </row>
    <row r="8" spans="1:12">
      <c r="A8" s="101" t="s">
        <v>632</v>
      </c>
      <c r="C8" s="105"/>
      <c r="D8" s="101"/>
      <c r="F8" s="105"/>
      <c r="G8" s="101"/>
      <c r="I8" s="105"/>
      <c r="J8" s="101">
        <f t="shared" si="0"/>
        <v>0</v>
      </c>
      <c r="K8">
        <f t="shared" si="1"/>
        <v>0</v>
      </c>
      <c r="L8" s="105">
        <f t="shared" si="2"/>
        <v>0</v>
      </c>
    </row>
    <row r="9" spans="1:12">
      <c r="A9" s="101" t="s">
        <v>632</v>
      </c>
      <c r="C9" s="105"/>
      <c r="D9" s="101"/>
      <c r="F9" s="105"/>
      <c r="G9" s="101"/>
      <c r="I9" s="105"/>
      <c r="J9" s="101">
        <f t="shared" si="0"/>
        <v>0</v>
      </c>
      <c r="K9">
        <f t="shared" si="1"/>
        <v>0</v>
      </c>
      <c r="L9" s="105">
        <f t="shared" si="2"/>
        <v>0</v>
      </c>
    </row>
    <row r="10" spans="1:12">
      <c r="A10" s="101" t="s">
        <v>632</v>
      </c>
      <c r="C10" s="105"/>
      <c r="D10" s="101"/>
      <c r="F10" s="105"/>
      <c r="G10" s="101"/>
      <c r="I10" s="105"/>
      <c r="J10" s="101">
        <f t="shared" si="0"/>
        <v>0</v>
      </c>
      <c r="K10">
        <f t="shared" si="1"/>
        <v>0</v>
      </c>
      <c r="L10" s="105">
        <f t="shared" si="2"/>
        <v>0</v>
      </c>
    </row>
    <row r="11" spans="1:12">
      <c r="A11" s="101" t="s">
        <v>632</v>
      </c>
      <c r="C11" s="105"/>
      <c r="D11" s="101"/>
      <c r="F11" s="105"/>
      <c r="G11" s="101"/>
      <c r="I11" s="105"/>
      <c r="J11" s="101">
        <f t="shared" si="0"/>
        <v>0</v>
      </c>
      <c r="K11">
        <f t="shared" si="1"/>
        <v>0</v>
      </c>
      <c r="L11" s="105">
        <f t="shared" si="2"/>
        <v>0</v>
      </c>
    </row>
    <row r="12" spans="1:12">
      <c r="A12" s="101" t="s">
        <v>632</v>
      </c>
      <c r="C12" s="105"/>
      <c r="D12" s="101"/>
      <c r="F12" s="105"/>
      <c r="G12" s="101"/>
      <c r="I12" s="105"/>
      <c r="J12" s="101">
        <f t="shared" si="0"/>
        <v>0</v>
      </c>
      <c r="K12">
        <f t="shared" si="1"/>
        <v>0</v>
      </c>
      <c r="L12" s="105">
        <f t="shared" si="2"/>
        <v>0</v>
      </c>
    </row>
    <row r="13" spans="1:12">
      <c r="A13" s="101" t="s">
        <v>632</v>
      </c>
      <c r="C13" s="105"/>
      <c r="D13" s="101"/>
      <c r="F13" s="105"/>
      <c r="G13" s="101"/>
      <c r="I13" s="105"/>
      <c r="J13" s="101">
        <f t="shared" si="0"/>
        <v>0</v>
      </c>
      <c r="K13">
        <f t="shared" si="1"/>
        <v>0</v>
      </c>
      <c r="L13" s="105">
        <f t="shared" si="2"/>
        <v>0</v>
      </c>
    </row>
    <row r="14" spans="1:12">
      <c r="A14" s="101" t="s">
        <v>632</v>
      </c>
      <c r="C14" s="105"/>
      <c r="D14" s="101"/>
      <c r="F14" s="105"/>
      <c r="G14" s="101"/>
      <c r="I14" s="105"/>
      <c r="J14" s="101">
        <f t="shared" si="0"/>
        <v>0</v>
      </c>
      <c r="K14">
        <f t="shared" si="1"/>
        <v>0</v>
      </c>
      <c r="L14" s="105">
        <f t="shared" si="2"/>
        <v>0</v>
      </c>
    </row>
    <row r="15" spans="1:12">
      <c r="A15" s="101" t="s">
        <v>632</v>
      </c>
      <c r="C15" s="105"/>
      <c r="D15" s="101"/>
      <c r="F15" s="105"/>
      <c r="G15" s="101"/>
      <c r="I15" s="105"/>
      <c r="J15" s="101">
        <f t="shared" si="0"/>
        <v>0</v>
      </c>
      <c r="K15">
        <f t="shared" si="1"/>
        <v>0</v>
      </c>
      <c r="L15" s="105">
        <f t="shared" si="2"/>
        <v>0</v>
      </c>
    </row>
    <row r="16" spans="1:12">
      <c r="A16" s="101" t="s">
        <v>632</v>
      </c>
      <c r="C16" s="105"/>
      <c r="D16" s="101"/>
      <c r="F16" s="105"/>
      <c r="G16" s="101"/>
      <c r="I16" s="105"/>
      <c r="J16" s="101">
        <f t="shared" si="0"/>
        <v>0</v>
      </c>
      <c r="K16">
        <f t="shared" si="1"/>
        <v>0</v>
      </c>
      <c r="L16" s="105">
        <f t="shared" si="2"/>
        <v>0</v>
      </c>
    </row>
    <row r="17" spans="1:12">
      <c r="A17" s="101" t="s">
        <v>632</v>
      </c>
      <c r="C17" s="105"/>
      <c r="D17" s="101"/>
      <c r="F17" s="105"/>
      <c r="G17" s="101"/>
      <c r="I17" s="105"/>
      <c r="J17" s="101">
        <f t="shared" si="0"/>
        <v>0</v>
      </c>
      <c r="K17">
        <f t="shared" si="1"/>
        <v>0</v>
      </c>
      <c r="L17" s="105">
        <f t="shared" si="2"/>
        <v>0</v>
      </c>
    </row>
    <row r="18" spans="1:12">
      <c r="A18" s="101" t="s">
        <v>632</v>
      </c>
      <c r="C18" s="105"/>
      <c r="D18" s="101"/>
      <c r="F18" s="105"/>
      <c r="G18" s="101"/>
      <c r="I18" s="105"/>
      <c r="J18" s="101">
        <f t="shared" si="0"/>
        <v>0</v>
      </c>
      <c r="K18">
        <f t="shared" si="1"/>
        <v>0</v>
      </c>
      <c r="L18" s="105">
        <f t="shared" si="2"/>
        <v>0</v>
      </c>
    </row>
    <row r="19" spans="1:12">
      <c r="A19" s="151"/>
      <c r="B19" s="152" t="s">
        <v>633</v>
      </c>
      <c r="C19" s="153"/>
      <c r="D19" s="151"/>
      <c r="E19" s="152"/>
      <c r="F19" s="153"/>
      <c r="G19" s="154"/>
      <c r="H19" s="155">
        <f>H20-SUM(H4:H18)</f>
        <v>163625136.71000001</v>
      </c>
      <c r="I19" s="153"/>
      <c r="J19" s="151">
        <f t="shared" si="0"/>
        <v>0</v>
      </c>
      <c r="K19" s="155">
        <f t="shared" si="1"/>
        <v>163625136.71000001</v>
      </c>
      <c r="L19" s="153">
        <f t="shared" si="2"/>
        <v>0</v>
      </c>
    </row>
    <row r="20" spans="1:12" ht="15" thickBot="1">
      <c r="A20" s="156"/>
      <c r="B20" s="157" t="s">
        <v>622</v>
      </c>
      <c r="C20" s="158">
        <f>SUM(C4:C19)</f>
        <v>0</v>
      </c>
      <c r="D20" s="159">
        <f>SUM(D4:D19)</f>
        <v>0</v>
      </c>
      <c r="E20" s="160">
        <f>SUM(E4:E19)</f>
        <v>0</v>
      </c>
      <c r="F20" s="158"/>
      <c r="G20" s="159">
        <f>SUM(G4:G19)</f>
        <v>0</v>
      </c>
      <c r="H20" s="160">
        <f>'UI-R'!K41</f>
        <v>163625136.71000001</v>
      </c>
      <c r="I20" s="158"/>
      <c r="J20" s="161" t="s">
        <v>631</v>
      </c>
      <c r="K20" s="160">
        <f>SUM(K4:K19)</f>
        <v>163625136.71000001</v>
      </c>
      <c r="L20" s="158"/>
    </row>
    <row r="21" spans="1:12">
      <c r="A21" s="101"/>
      <c r="C21" s="105"/>
      <c r="D21" s="101"/>
      <c r="F21" s="105"/>
      <c r="G21" s="101"/>
      <c r="I21" s="105"/>
      <c r="J21" s="101"/>
      <c r="L21" s="105"/>
    </row>
    <row r="22" spans="1:12" ht="15" thickBot="1">
      <c r="A22" s="156"/>
      <c r="B22" s="157" t="s">
        <v>623</v>
      </c>
      <c r="C22" s="158"/>
      <c r="D22" s="159"/>
      <c r="E22" s="160"/>
      <c r="F22" s="158"/>
      <c r="G22" s="159"/>
      <c r="H22" s="160"/>
      <c r="I22" s="158"/>
      <c r="J22" s="159"/>
      <c r="K22" s="160"/>
      <c r="L22" s="158"/>
    </row>
  </sheetData>
  <mergeCells count="11">
    <mergeCell ref="J2:J3"/>
    <mergeCell ref="L2:L3"/>
    <mergeCell ref="G2:G3"/>
    <mergeCell ref="K2:K3"/>
    <mergeCell ref="A2:A3"/>
    <mergeCell ref="B2:B3"/>
    <mergeCell ref="C2:C3"/>
    <mergeCell ref="I2:I3"/>
    <mergeCell ref="D2:D3"/>
    <mergeCell ref="F2:F3"/>
    <mergeCell ref="H2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C6F42-15D6-4BA5-9EA0-815BDC72824F}">
  <dimension ref="A1:L22"/>
  <sheetViews>
    <sheetView workbookViewId="0">
      <selection activeCell="A19" sqref="A19"/>
    </sheetView>
  </sheetViews>
  <sheetFormatPr defaultRowHeight="14.4"/>
  <cols>
    <col min="1" max="1" width="4" bestFit="1" customWidth="1"/>
    <col min="2" max="2" width="28.6640625" customWidth="1"/>
    <col min="3" max="5" width="16.5546875" customWidth="1"/>
    <col min="6" max="6" width="18.6640625" customWidth="1"/>
    <col min="7" max="8" width="16.5546875" customWidth="1"/>
    <col min="9" max="9" width="18" customWidth="1"/>
    <col min="10" max="10" width="20.21875" customWidth="1"/>
    <col min="11" max="12" width="18.88671875" customWidth="1"/>
  </cols>
  <sheetData>
    <row r="1" spans="1:12">
      <c r="C1" s="232" t="s">
        <v>732</v>
      </c>
      <c r="D1" s="232" t="s">
        <v>731</v>
      </c>
      <c r="E1" s="232" t="s">
        <v>733</v>
      </c>
      <c r="F1" s="232" t="s">
        <v>731</v>
      </c>
      <c r="G1" s="232" t="s">
        <v>731</v>
      </c>
      <c r="H1" s="232" t="s">
        <v>733</v>
      </c>
      <c r="I1" s="232" t="s">
        <v>731</v>
      </c>
      <c r="J1" s="232" t="s">
        <v>731</v>
      </c>
      <c r="K1" s="232" t="s">
        <v>733</v>
      </c>
      <c r="L1" s="232" t="s">
        <v>731</v>
      </c>
    </row>
    <row r="2" spans="1:12" s="77" customFormat="1" ht="14.4" customHeight="1">
      <c r="A2" s="1112" t="s">
        <v>617</v>
      </c>
      <c r="B2" s="1103" t="s">
        <v>734</v>
      </c>
      <c r="C2" s="1109" t="s">
        <v>735</v>
      </c>
      <c r="D2" s="1107" t="s">
        <v>619</v>
      </c>
      <c r="E2" s="146" t="s">
        <v>625</v>
      </c>
      <c r="F2" s="1109" t="s">
        <v>629</v>
      </c>
      <c r="G2" s="1107" t="s">
        <v>620</v>
      </c>
      <c r="H2" s="1099" t="s">
        <v>624</v>
      </c>
      <c r="I2" s="1109" t="s">
        <v>630</v>
      </c>
      <c r="J2" s="1107" t="s">
        <v>627</v>
      </c>
      <c r="K2" s="1099" t="s">
        <v>628</v>
      </c>
      <c r="L2" s="1109" t="s">
        <v>621</v>
      </c>
    </row>
    <row r="3" spans="1:12" s="77" customFormat="1">
      <c r="A3" s="1113"/>
      <c r="B3" s="1104"/>
      <c r="C3" s="1110"/>
      <c r="D3" s="1108"/>
      <c r="E3" s="147" t="s">
        <v>626</v>
      </c>
      <c r="F3" s="1110"/>
      <c r="G3" s="1108"/>
      <c r="H3" s="1100"/>
      <c r="I3" s="1110"/>
      <c r="J3" s="1108"/>
      <c r="K3" s="1111"/>
      <c r="L3" s="1110"/>
    </row>
    <row r="4" spans="1:12">
      <c r="A4" s="101" t="s">
        <v>632</v>
      </c>
      <c r="C4" s="105"/>
      <c r="D4" s="101"/>
      <c r="F4" s="105"/>
      <c r="G4" s="101"/>
      <c r="I4" s="105"/>
      <c r="J4" s="101">
        <f>G4-D4</f>
        <v>0</v>
      </c>
      <c r="K4">
        <f>H4-E4</f>
        <v>0</v>
      </c>
      <c r="L4" s="105">
        <f>I4-F4</f>
        <v>0</v>
      </c>
    </row>
    <row r="5" spans="1:12">
      <c r="A5" s="101" t="s">
        <v>632</v>
      </c>
      <c r="C5" s="105"/>
      <c r="D5" s="101"/>
      <c r="F5" s="105"/>
      <c r="G5" s="101"/>
      <c r="I5" s="105"/>
      <c r="J5" s="101">
        <f t="shared" ref="J5:L19" si="0">G5-D5</f>
        <v>0</v>
      </c>
      <c r="K5">
        <f t="shared" si="0"/>
        <v>0</v>
      </c>
      <c r="L5" s="105">
        <f t="shared" si="0"/>
        <v>0</v>
      </c>
    </row>
    <row r="6" spans="1:12">
      <c r="A6" s="101" t="s">
        <v>632</v>
      </c>
      <c r="C6" s="105"/>
      <c r="D6" s="101"/>
      <c r="F6" s="105"/>
      <c r="G6" s="101"/>
      <c r="I6" s="105"/>
      <c r="J6" s="101">
        <f t="shared" si="0"/>
        <v>0</v>
      </c>
      <c r="K6">
        <f t="shared" si="0"/>
        <v>0</v>
      </c>
      <c r="L6" s="105">
        <f t="shared" si="0"/>
        <v>0</v>
      </c>
    </row>
    <row r="7" spans="1:12">
      <c r="A7" s="101" t="s">
        <v>632</v>
      </c>
      <c r="C7" s="105"/>
      <c r="D7" s="101"/>
      <c r="F7" s="105"/>
      <c r="G7" s="101"/>
      <c r="I7" s="105"/>
      <c r="J7" s="101">
        <f t="shared" si="0"/>
        <v>0</v>
      </c>
      <c r="K7">
        <f t="shared" si="0"/>
        <v>0</v>
      </c>
      <c r="L7" s="105">
        <f t="shared" si="0"/>
        <v>0</v>
      </c>
    </row>
    <row r="8" spans="1:12">
      <c r="A8" s="101" t="s">
        <v>632</v>
      </c>
      <c r="C8" s="105"/>
      <c r="D8" s="101"/>
      <c r="F8" s="105"/>
      <c r="G8" s="101"/>
      <c r="I8" s="105"/>
      <c r="J8" s="101">
        <f t="shared" si="0"/>
        <v>0</v>
      </c>
      <c r="K8">
        <f t="shared" si="0"/>
        <v>0</v>
      </c>
      <c r="L8" s="105">
        <f t="shared" si="0"/>
        <v>0</v>
      </c>
    </row>
    <row r="9" spans="1:12">
      <c r="A9" s="101" t="s">
        <v>632</v>
      </c>
      <c r="C9" s="105"/>
      <c r="D9" s="101"/>
      <c r="F9" s="105"/>
      <c r="G9" s="101"/>
      <c r="I9" s="105"/>
      <c r="J9" s="101">
        <f t="shared" si="0"/>
        <v>0</v>
      </c>
      <c r="K9">
        <f t="shared" si="0"/>
        <v>0</v>
      </c>
      <c r="L9" s="105">
        <f t="shared" si="0"/>
        <v>0</v>
      </c>
    </row>
    <row r="10" spans="1:12">
      <c r="A10" s="101" t="s">
        <v>632</v>
      </c>
      <c r="C10" s="105"/>
      <c r="D10" s="101"/>
      <c r="F10" s="105"/>
      <c r="G10" s="101"/>
      <c r="I10" s="105"/>
      <c r="J10" s="101">
        <f t="shared" si="0"/>
        <v>0</v>
      </c>
      <c r="K10">
        <f t="shared" si="0"/>
        <v>0</v>
      </c>
      <c r="L10" s="105">
        <f t="shared" si="0"/>
        <v>0</v>
      </c>
    </row>
    <row r="11" spans="1:12">
      <c r="A11" s="101" t="s">
        <v>632</v>
      </c>
      <c r="C11" s="105"/>
      <c r="D11" s="101"/>
      <c r="F11" s="105"/>
      <c r="G11" s="101"/>
      <c r="I11" s="105"/>
      <c r="J11" s="101">
        <f t="shared" si="0"/>
        <v>0</v>
      </c>
      <c r="K11">
        <f t="shared" si="0"/>
        <v>0</v>
      </c>
      <c r="L11" s="105">
        <f t="shared" si="0"/>
        <v>0</v>
      </c>
    </row>
    <row r="12" spans="1:12">
      <c r="A12" s="101" t="s">
        <v>632</v>
      </c>
      <c r="C12" s="105"/>
      <c r="D12" s="101"/>
      <c r="F12" s="105"/>
      <c r="G12" s="101"/>
      <c r="I12" s="105"/>
      <c r="J12" s="101">
        <f t="shared" si="0"/>
        <v>0</v>
      </c>
      <c r="K12">
        <f t="shared" si="0"/>
        <v>0</v>
      </c>
      <c r="L12" s="105">
        <f t="shared" si="0"/>
        <v>0</v>
      </c>
    </row>
    <row r="13" spans="1:12">
      <c r="A13" s="101" t="s">
        <v>632</v>
      </c>
      <c r="C13" s="105"/>
      <c r="D13" s="101"/>
      <c r="F13" s="105"/>
      <c r="G13" s="101"/>
      <c r="I13" s="105"/>
      <c r="J13" s="101">
        <f t="shared" si="0"/>
        <v>0</v>
      </c>
      <c r="K13">
        <f t="shared" si="0"/>
        <v>0</v>
      </c>
      <c r="L13" s="105">
        <f t="shared" si="0"/>
        <v>0</v>
      </c>
    </row>
    <row r="14" spans="1:12">
      <c r="A14" s="101" t="s">
        <v>632</v>
      </c>
      <c r="C14" s="105"/>
      <c r="D14" s="101"/>
      <c r="F14" s="105"/>
      <c r="G14" s="101"/>
      <c r="I14" s="105"/>
      <c r="J14" s="101">
        <f t="shared" si="0"/>
        <v>0</v>
      </c>
      <c r="K14">
        <f t="shared" si="0"/>
        <v>0</v>
      </c>
      <c r="L14" s="105">
        <f t="shared" si="0"/>
        <v>0</v>
      </c>
    </row>
    <row r="15" spans="1:12">
      <c r="A15" s="101" t="s">
        <v>632</v>
      </c>
      <c r="C15" s="105"/>
      <c r="D15" s="101"/>
      <c r="F15" s="105"/>
      <c r="G15" s="101"/>
      <c r="I15" s="105"/>
      <c r="J15" s="101">
        <f t="shared" si="0"/>
        <v>0</v>
      </c>
      <c r="K15">
        <f t="shared" si="0"/>
        <v>0</v>
      </c>
      <c r="L15" s="105">
        <f t="shared" si="0"/>
        <v>0</v>
      </c>
    </row>
    <row r="16" spans="1:12">
      <c r="A16" s="101" t="s">
        <v>632</v>
      </c>
      <c r="C16" s="105"/>
      <c r="D16" s="101"/>
      <c r="F16" s="105"/>
      <c r="G16" s="101"/>
      <c r="I16" s="105"/>
      <c r="J16" s="101">
        <f t="shared" si="0"/>
        <v>0</v>
      </c>
      <c r="K16">
        <f t="shared" si="0"/>
        <v>0</v>
      </c>
      <c r="L16" s="105">
        <f t="shared" si="0"/>
        <v>0</v>
      </c>
    </row>
    <row r="17" spans="1:12">
      <c r="A17" s="101" t="s">
        <v>632</v>
      </c>
      <c r="C17" s="105"/>
      <c r="D17" s="101"/>
      <c r="F17" s="105"/>
      <c r="G17" s="101"/>
      <c r="I17" s="105"/>
      <c r="J17" s="101">
        <f t="shared" si="0"/>
        <v>0</v>
      </c>
      <c r="K17">
        <f t="shared" si="0"/>
        <v>0</v>
      </c>
      <c r="L17" s="105">
        <f t="shared" si="0"/>
        <v>0</v>
      </c>
    </row>
    <row r="18" spans="1:12">
      <c r="A18" s="101" t="s">
        <v>632</v>
      </c>
      <c r="C18" s="105"/>
      <c r="D18" s="101"/>
      <c r="F18" s="105"/>
      <c r="G18" s="101"/>
      <c r="I18" s="105"/>
      <c r="J18" s="101">
        <f t="shared" si="0"/>
        <v>0</v>
      </c>
      <c r="K18">
        <f t="shared" si="0"/>
        <v>0</v>
      </c>
      <c r="L18" s="105">
        <f t="shared" si="0"/>
        <v>0</v>
      </c>
    </row>
    <row r="19" spans="1:12">
      <c r="A19" s="151"/>
      <c r="B19" s="152" t="s">
        <v>633</v>
      </c>
      <c r="C19" s="153"/>
      <c r="D19" s="151"/>
      <c r="E19" s="152"/>
      <c r="F19" s="153"/>
      <c r="G19" s="154"/>
      <c r="H19" s="155">
        <f>H20-SUM(H4:H18)</f>
        <v>163625136.71000001</v>
      </c>
      <c r="I19" s="153"/>
      <c r="J19" s="151">
        <f t="shared" si="0"/>
        <v>0</v>
      </c>
      <c r="K19" s="155">
        <f t="shared" si="0"/>
        <v>163625136.71000001</v>
      </c>
      <c r="L19" s="153">
        <f t="shared" si="0"/>
        <v>0</v>
      </c>
    </row>
    <row r="20" spans="1:12" ht="15" thickBot="1">
      <c r="A20" s="156"/>
      <c r="B20" s="157" t="s">
        <v>622</v>
      </c>
      <c r="C20" s="158">
        <f>SUM(C4:C19)</f>
        <v>0</v>
      </c>
      <c r="D20" s="159">
        <f>SUM(D4:D19)</f>
        <v>0</v>
      </c>
      <c r="E20" s="160">
        <f>SUM(E4:E19)</f>
        <v>0</v>
      </c>
      <c r="F20" s="158"/>
      <c r="G20" s="159">
        <f>SUM(G4:G19)</f>
        <v>0</v>
      </c>
      <c r="H20" s="160">
        <f>'UI-R'!K41</f>
        <v>163625136.71000001</v>
      </c>
      <c r="I20" s="158"/>
      <c r="J20" s="161" t="s">
        <v>631</v>
      </c>
      <c r="K20" s="160">
        <f>SUM(K4:K19)</f>
        <v>163625136.71000001</v>
      </c>
      <c r="L20" s="158"/>
    </row>
    <row r="21" spans="1:12">
      <c r="A21" s="101"/>
      <c r="C21" s="105"/>
      <c r="D21" s="101"/>
      <c r="F21" s="105"/>
      <c r="G21" s="101"/>
      <c r="I21" s="105"/>
      <c r="J21" s="101"/>
      <c r="L21" s="105"/>
    </row>
    <row r="22" spans="1:12" ht="15" thickBot="1">
      <c r="A22" s="156"/>
      <c r="B22" s="157" t="s">
        <v>623</v>
      </c>
      <c r="C22" s="158"/>
      <c r="D22" s="159"/>
      <c r="E22" s="160"/>
      <c r="F22" s="158"/>
      <c r="G22" s="159"/>
      <c r="H22" s="160"/>
      <c r="I22" s="158"/>
      <c r="J22" s="159"/>
      <c r="K22" s="160"/>
      <c r="L22" s="158"/>
    </row>
  </sheetData>
  <mergeCells count="11">
    <mergeCell ref="H2:H3"/>
    <mergeCell ref="I2:I3"/>
    <mergeCell ref="J2:J3"/>
    <mergeCell ref="K2:K3"/>
    <mergeCell ref="L2:L3"/>
    <mergeCell ref="G2:G3"/>
    <mergeCell ref="A2:A3"/>
    <mergeCell ref="B2:B3"/>
    <mergeCell ref="C2:C3"/>
    <mergeCell ref="D2:D3"/>
    <mergeCell ref="F2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9EA8-3208-47CC-8DFC-471FD949B1E8}">
  <dimension ref="A1:S57"/>
  <sheetViews>
    <sheetView workbookViewId="0"/>
  </sheetViews>
  <sheetFormatPr defaultColWidth="15.21875" defaultRowHeight="11.4"/>
  <cols>
    <col min="1" max="1" width="18.109375" style="325" customWidth="1"/>
    <col min="2" max="2" width="65.6640625" style="325" customWidth="1"/>
    <col min="3" max="3" width="11.33203125" style="325" bestFit="1" customWidth="1"/>
    <col min="4" max="4" width="13.109375" style="325" customWidth="1"/>
    <col min="5" max="5" width="10" style="325" customWidth="1"/>
    <col min="6" max="6" width="20.33203125" style="325" customWidth="1"/>
    <col min="7" max="7" width="7.6640625" style="325" customWidth="1"/>
    <col min="8" max="16" width="6.21875" style="325" bestFit="1" customWidth="1"/>
    <col min="17" max="17" width="14.44140625" style="325" customWidth="1"/>
    <col min="18" max="18" width="5.33203125" style="325" bestFit="1" customWidth="1"/>
    <col min="19" max="19" width="78.21875" style="325" customWidth="1"/>
    <col min="20" max="16384" width="15.21875" style="325"/>
  </cols>
  <sheetData>
    <row r="1" spans="1:19" ht="12.6" thickBot="1">
      <c r="B1" s="386" t="s">
        <v>727</v>
      </c>
    </row>
    <row r="2" spans="1:19" ht="36.6" thickBot="1">
      <c r="A2" s="362" t="s">
        <v>312</v>
      </c>
      <c r="B2" s="363" t="s">
        <v>313</v>
      </c>
      <c r="C2" s="364" t="s">
        <v>314</v>
      </c>
      <c r="D2" s="364" t="s">
        <v>315</v>
      </c>
      <c r="E2" s="364" t="s">
        <v>316</v>
      </c>
      <c r="F2" s="364" t="s">
        <v>712</v>
      </c>
      <c r="G2" s="364">
        <v>2022</v>
      </c>
      <c r="H2" s="364">
        <v>2023</v>
      </c>
      <c r="I2" s="364">
        <v>2024</v>
      </c>
      <c r="J2" s="364">
        <v>2025</v>
      </c>
      <c r="K2" s="364">
        <v>2026</v>
      </c>
      <c r="L2" s="364">
        <v>2027</v>
      </c>
      <c r="M2" s="364">
        <v>2028</v>
      </c>
      <c r="N2" s="364">
        <v>2029</v>
      </c>
      <c r="O2" s="364">
        <v>2030</v>
      </c>
      <c r="P2" s="364">
        <v>2031</v>
      </c>
      <c r="Q2" s="364">
        <v>2032</v>
      </c>
    </row>
    <row r="3" spans="1:19" ht="12" thickBot="1">
      <c r="A3" s="1116" t="s">
        <v>317</v>
      </c>
      <c r="B3" s="365" t="s">
        <v>318</v>
      </c>
      <c r="C3" s="1114">
        <v>0.6</v>
      </c>
      <c r="D3" s="1114">
        <v>7.87</v>
      </c>
      <c r="E3" s="1114" t="s">
        <v>67</v>
      </c>
      <c r="F3" s="1114" t="s">
        <v>708</v>
      </c>
      <c r="G3" s="366">
        <v>0.6</v>
      </c>
      <c r="H3" s="366">
        <v>1.4</v>
      </c>
      <c r="I3" s="366">
        <v>2.2000000000000002</v>
      </c>
      <c r="J3" s="366">
        <v>3</v>
      </c>
      <c r="K3" s="366">
        <v>3.8</v>
      </c>
      <c r="L3" s="366">
        <v>4.5999999999999996</v>
      </c>
      <c r="M3" s="366">
        <v>5.4</v>
      </c>
      <c r="N3" s="366">
        <v>6.2</v>
      </c>
      <c r="O3" s="366">
        <v>7</v>
      </c>
      <c r="P3" s="366">
        <v>7.8</v>
      </c>
      <c r="Q3" s="1114">
        <v>7.87</v>
      </c>
    </row>
    <row r="4" spans="1:19" ht="12" thickBot="1">
      <c r="A4" s="1117"/>
      <c r="B4" s="365" t="s">
        <v>319</v>
      </c>
      <c r="C4" s="1115"/>
      <c r="D4" s="1115"/>
      <c r="E4" s="1115"/>
      <c r="F4" s="1115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1115"/>
    </row>
    <row r="5" spans="1:19" ht="12" thickBot="1">
      <c r="A5" s="1117"/>
      <c r="B5" s="365" t="s">
        <v>320</v>
      </c>
      <c r="C5" s="1114">
        <v>1.83</v>
      </c>
      <c r="D5" s="1114">
        <v>15.3</v>
      </c>
      <c r="E5" s="1114" t="s">
        <v>67</v>
      </c>
      <c r="F5" s="1114" t="s">
        <v>708</v>
      </c>
      <c r="G5" s="366">
        <v>1.83</v>
      </c>
      <c r="H5" s="366">
        <v>3.32</v>
      </c>
      <c r="I5" s="366">
        <v>4.8099999999999996</v>
      </c>
      <c r="J5" s="366">
        <v>6.3</v>
      </c>
      <c r="K5" s="366">
        <v>7.79</v>
      </c>
      <c r="L5" s="366">
        <v>9.2799999999999994</v>
      </c>
      <c r="M5" s="366">
        <v>10.77</v>
      </c>
      <c r="N5" s="366">
        <v>12.26</v>
      </c>
      <c r="O5" s="366">
        <v>13.75</v>
      </c>
      <c r="P5" s="366">
        <v>15.24</v>
      </c>
      <c r="Q5" s="1114">
        <v>15.3</v>
      </c>
    </row>
    <row r="6" spans="1:19" ht="12" thickBot="1">
      <c r="A6" s="1123"/>
      <c r="B6" s="365" t="s">
        <v>321</v>
      </c>
      <c r="C6" s="1115"/>
      <c r="D6" s="1115"/>
      <c r="E6" s="1115"/>
      <c r="F6" s="1115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1115"/>
    </row>
    <row r="7" spans="1:19" ht="12" thickBot="1">
      <c r="A7" s="1116" t="s">
        <v>334</v>
      </c>
      <c r="B7" s="365" t="s">
        <v>335</v>
      </c>
      <c r="C7" s="1114" t="s">
        <v>337</v>
      </c>
      <c r="D7" s="1119">
        <v>2E-3</v>
      </c>
      <c r="E7" s="1114" t="s">
        <v>297</v>
      </c>
      <c r="F7" s="1121" t="s">
        <v>709</v>
      </c>
      <c r="G7" s="368">
        <v>2.5999999999999999E-3</v>
      </c>
      <c r="H7" s="370">
        <v>2.4499999999999999E-3</v>
      </c>
      <c r="I7" s="370">
        <v>2.3999999999999998E-3</v>
      </c>
      <c r="J7" s="370">
        <v>2.3500000000000001E-3</v>
      </c>
      <c r="K7" s="370">
        <v>2.3E-3</v>
      </c>
      <c r="L7" s="370">
        <v>2.2499999999999998E-3</v>
      </c>
      <c r="M7" s="370">
        <v>2.2000000000000001E-3</v>
      </c>
      <c r="N7" s="370">
        <v>2.15E-3</v>
      </c>
      <c r="O7" s="370">
        <v>2.0999999999999999E-3</v>
      </c>
      <c r="P7" s="370">
        <v>2.0500000000000002E-3</v>
      </c>
      <c r="Q7" s="1127">
        <v>2E-3</v>
      </c>
    </row>
    <row r="8" spans="1:19" ht="12" thickBot="1">
      <c r="A8" s="1117"/>
      <c r="B8" s="365" t="s">
        <v>336</v>
      </c>
      <c r="C8" s="1115"/>
      <c r="D8" s="1120"/>
      <c r="E8" s="1115"/>
      <c r="F8" s="1122"/>
      <c r="G8" s="369"/>
      <c r="H8" s="371"/>
      <c r="I8" s="371"/>
      <c r="J8" s="371"/>
      <c r="K8" s="371"/>
      <c r="L8" s="371"/>
      <c r="M8" s="371"/>
      <c r="N8" s="371"/>
      <c r="O8" s="371"/>
      <c r="P8" s="371"/>
      <c r="Q8" s="1128"/>
    </row>
    <row r="9" spans="1:19" ht="12" thickBot="1">
      <c r="A9" s="1117"/>
      <c r="B9" s="365" t="s">
        <v>338</v>
      </c>
      <c r="C9" s="1114" t="s">
        <v>340</v>
      </c>
      <c r="D9" s="1114">
        <v>4.5999999999999996</v>
      </c>
      <c r="E9" s="1114" t="s">
        <v>341</v>
      </c>
      <c r="F9" s="1114" t="s">
        <v>710</v>
      </c>
      <c r="G9" s="366">
        <v>5.75</v>
      </c>
      <c r="H9" s="366">
        <v>5.6230000000000002</v>
      </c>
      <c r="I9" s="366">
        <v>5.4960000000000004</v>
      </c>
      <c r="J9" s="366">
        <v>5.3689999999999998</v>
      </c>
      <c r="K9" s="366">
        <v>5.242</v>
      </c>
      <c r="L9" s="366">
        <v>5.1150000000000002</v>
      </c>
      <c r="M9" s="366">
        <v>4.9880000000000004</v>
      </c>
      <c r="N9" s="366">
        <v>4.8609999999999998</v>
      </c>
      <c r="O9" s="366">
        <v>4.734</v>
      </c>
      <c r="P9" s="366">
        <v>4.6070000000000002</v>
      </c>
      <c r="Q9" s="1114">
        <v>4.5999999999999996</v>
      </c>
    </row>
    <row r="10" spans="1:19" ht="12" thickBot="1">
      <c r="A10" s="1117"/>
      <c r="B10" s="365" t="s">
        <v>339</v>
      </c>
      <c r="C10" s="1115"/>
      <c r="D10" s="1115"/>
      <c r="E10" s="1115"/>
      <c r="F10" s="1115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1115"/>
    </row>
    <row r="11" spans="1:19" ht="12" thickBot="1">
      <c r="A11" s="1117"/>
      <c r="B11" s="365" t="s">
        <v>342</v>
      </c>
      <c r="C11" s="1114" t="s">
        <v>344</v>
      </c>
      <c r="D11" s="1114">
        <v>90</v>
      </c>
      <c r="E11" s="1114" t="s">
        <v>67</v>
      </c>
      <c r="F11" s="1114" t="s">
        <v>711</v>
      </c>
      <c r="G11" s="366">
        <v>140</v>
      </c>
      <c r="H11" s="366">
        <v>134.44999999999999</v>
      </c>
      <c r="I11" s="366">
        <v>128.9</v>
      </c>
      <c r="J11" s="366">
        <v>123.35</v>
      </c>
      <c r="K11" s="366">
        <v>117.8</v>
      </c>
      <c r="L11" s="366">
        <v>112.25</v>
      </c>
      <c r="M11" s="366">
        <v>106.7</v>
      </c>
      <c r="N11" s="366">
        <v>101.15</v>
      </c>
      <c r="O11" s="366">
        <v>95.6</v>
      </c>
      <c r="P11" s="366">
        <v>90.05</v>
      </c>
      <c r="Q11" s="1114">
        <v>90</v>
      </c>
    </row>
    <row r="12" spans="1:19" ht="12" thickBot="1">
      <c r="A12" s="1118"/>
      <c r="B12" s="365" t="s">
        <v>343</v>
      </c>
      <c r="C12" s="1126"/>
      <c r="D12" s="1126"/>
      <c r="E12" s="1126"/>
      <c r="F12" s="1126"/>
      <c r="G12" s="367"/>
      <c r="H12" s="372"/>
      <c r="I12" s="372"/>
      <c r="J12" s="372"/>
      <c r="K12" s="372"/>
      <c r="L12" s="372"/>
      <c r="M12" s="372"/>
      <c r="N12" s="372"/>
      <c r="O12" s="372"/>
      <c r="P12" s="372"/>
      <c r="Q12" s="1115"/>
    </row>
    <row r="14" spans="1:19" ht="12.6" thickBot="1">
      <c r="B14" s="386" t="s">
        <v>728</v>
      </c>
    </row>
    <row r="15" spans="1:19" ht="36.6" thickBot="1">
      <c r="A15" s="1138" t="s">
        <v>57</v>
      </c>
      <c r="B15" s="1140" t="s">
        <v>726</v>
      </c>
      <c r="C15" s="364" t="s">
        <v>60</v>
      </c>
      <c r="D15" s="373" t="s">
        <v>62</v>
      </c>
      <c r="E15" s="373" t="s">
        <v>63</v>
      </c>
      <c r="F15" s="373" t="s">
        <v>712</v>
      </c>
      <c r="G15" s="373">
        <v>2021</v>
      </c>
      <c r="H15" s="373">
        <v>2022</v>
      </c>
      <c r="I15" s="373">
        <v>2023</v>
      </c>
      <c r="J15" s="373">
        <v>2024</v>
      </c>
      <c r="K15" s="373">
        <v>2025</v>
      </c>
      <c r="L15" s="373">
        <v>2026</v>
      </c>
      <c r="M15" s="373">
        <v>2027</v>
      </c>
      <c r="N15" s="373">
        <v>2028</v>
      </c>
      <c r="O15" s="373">
        <v>2029</v>
      </c>
      <c r="P15" s="373">
        <v>2030</v>
      </c>
      <c r="S15" s="1124" t="s">
        <v>59</v>
      </c>
    </row>
    <row r="16" spans="1:19" ht="12.6" thickBot="1">
      <c r="A16" s="1139"/>
      <c r="B16" s="1141"/>
      <c r="C16" s="374" t="s">
        <v>61</v>
      </c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S16" s="1125"/>
    </row>
    <row r="17" spans="1:19" ht="23.4" thickBot="1">
      <c r="A17" s="1124" t="s">
        <v>64</v>
      </c>
      <c r="B17" s="381" t="s">
        <v>65</v>
      </c>
      <c r="C17" s="376">
        <v>4422</v>
      </c>
      <c r="D17" s="377">
        <v>5500</v>
      </c>
      <c r="E17" s="367" t="s">
        <v>67</v>
      </c>
      <c r="F17" s="378" t="s">
        <v>714</v>
      </c>
      <c r="G17" s="382">
        <v>4422</v>
      </c>
      <c r="H17" s="382">
        <v>4542</v>
      </c>
      <c r="I17" s="382">
        <v>4662</v>
      </c>
      <c r="J17" s="382">
        <v>4781</v>
      </c>
      <c r="K17" s="382">
        <v>4901</v>
      </c>
      <c r="L17" s="382">
        <v>5021</v>
      </c>
      <c r="M17" s="382">
        <v>5141</v>
      </c>
      <c r="N17" s="382">
        <v>5260</v>
      </c>
      <c r="O17" s="382">
        <v>5380</v>
      </c>
      <c r="P17" s="382">
        <v>5500</v>
      </c>
      <c r="Q17" s="382" t="s">
        <v>714</v>
      </c>
      <c r="S17" s="375" t="s">
        <v>66</v>
      </c>
    </row>
    <row r="18" spans="1:19" ht="23.4" thickBot="1">
      <c r="A18" s="1129"/>
      <c r="B18" s="1130" t="s">
        <v>69</v>
      </c>
      <c r="C18" s="376">
        <v>22029</v>
      </c>
      <c r="D18" s="377">
        <v>25796</v>
      </c>
      <c r="E18" s="367" t="s">
        <v>67</v>
      </c>
      <c r="F18" s="378" t="s">
        <v>708</v>
      </c>
      <c r="G18" s="382">
        <v>22029</v>
      </c>
      <c r="H18" s="382">
        <v>22448</v>
      </c>
      <c r="I18" s="382">
        <v>22866</v>
      </c>
      <c r="J18" s="382">
        <v>23285</v>
      </c>
      <c r="K18" s="382">
        <v>23703</v>
      </c>
      <c r="L18" s="382">
        <v>24122</v>
      </c>
      <c r="M18" s="382">
        <v>24540</v>
      </c>
      <c r="N18" s="382">
        <v>24959</v>
      </c>
      <c r="O18" s="382">
        <v>25377</v>
      </c>
      <c r="P18" s="382">
        <v>25796</v>
      </c>
      <c r="Q18" s="382" t="s">
        <v>708</v>
      </c>
      <c r="S18" s="365" t="s">
        <v>70</v>
      </c>
    </row>
    <row r="19" spans="1:19" ht="23.4" thickBot="1">
      <c r="A19" s="1129"/>
      <c r="B19" s="1131"/>
      <c r="C19" s="379">
        <v>23.55</v>
      </c>
      <c r="D19" s="378">
        <v>222.44</v>
      </c>
      <c r="E19" s="367" t="s">
        <v>67</v>
      </c>
      <c r="F19" s="378" t="s">
        <v>708</v>
      </c>
      <c r="G19" s="383">
        <v>23.55</v>
      </c>
      <c r="H19" s="383">
        <v>39.25</v>
      </c>
      <c r="I19" s="383">
        <v>57.573999999999998</v>
      </c>
      <c r="J19" s="383">
        <v>130.85</v>
      </c>
      <c r="K19" s="383">
        <v>130.85</v>
      </c>
      <c r="L19" s="383">
        <v>164.87</v>
      </c>
      <c r="M19" s="383">
        <v>193.65</v>
      </c>
      <c r="N19" s="383">
        <v>193.66</v>
      </c>
      <c r="O19" s="383">
        <v>222.44</v>
      </c>
      <c r="P19" s="383">
        <v>222.44</v>
      </c>
      <c r="Q19" s="382" t="s">
        <v>708</v>
      </c>
      <c r="S19" s="385" t="s">
        <v>71</v>
      </c>
    </row>
    <row r="20" spans="1:19" ht="23.4" thickBot="1">
      <c r="A20" s="1125"/>
      <c r="B20" s="1132"/>
      <c r="C20" s="379">
        <v>49.72</v>
      </c>
      <c r="D20" s="378">
        <v>439.66</v>
      </c>
      <c r="E20" s="367" t="s">
        <v>67</v>
      </c>
      <c r="F20" s="378" t="s">
        <v>708</v>
      </c>
      <c r="G20" s="383">
        <v>49.72</v>
      </c>
      <c r="H20" s="383">
        <v>96.83</v>
      </c>
      <c r="I20" s="383">
        <v>146.55000000000001</v>
      </c>
      <c r="J20" s="383">
        <v>222.44</v>
      </c>
      <c r="K20" s="383">
        <v>280.01</v>
      </c>
      <c r="L20" s="383">
        <v>306.19</v>
      </c>
      <c r="M20" s="383">
        <v>345.44</v>
      </c>
      <c r="N20" s="383">
        <v>371.61</v>
      </c>
      <c r="O20" s="383">
        <v>397.78</v>
      </c>
      <c r="P20" s="383">
        <v>439.65</v>
      </c>
      <c r="Q20" s="382" t="s">
        <v>708</v>
      </c>
      <c r="S20" s="385" t="s">
        <v>72</v>
      </c>
    </row>
    <row r="21" spans="1:19" ht="23.4" thickBot="1">
      <c r="A21" s="1124" t="s">
        <v>81</v>
      </c>
      <c r="B21" s="1130" t="s">
        <v>82</v>
      </c>
      <c r="C21" s="379">
        <v>0</v>
      </c>
      <c r="D21" s="378">
        <v>100</v>
      </c>
      <c r="E21" s="367" t="s">
        <v>67</v>
      </c>
      <c r="F21" s="378" t="s">
        <v>708</v>
      </c>
      <c r="G21" s="384">
        <v>0</v>
      </c>
      <c r="H21" s="384">
        <v>0</v>
      </c>
      <c r="I21" s="384">
        <v>0</v>
      </c>
      <c r="J21" s="384">
        <v>50</v>
      </c>
      <c r="K21" s="384">
        <v>100</v>
      </c>
      <c r="L21" s="384">
        <v>100</v>
      </c>
      <c r="M21" s="384">
        <v>100</v>
      </c>
      <c r="N21" s="384">
        <v>100</v>
      </c>
      <c r="O21" s="384">
        <v>100</v>
      </c>
      <c r="P21" s="384">
        <v>100</v>
      </c>
      <c r="Q21" s="384" t="s">
        <v>708</v>
      </c>
      <c r="S21" s="375" t="s">
        <v>89</v>
      </c>
    </row>
    <row r="22" spans="1:19" ht="23.4" thickBot="1">
      <c r="A22" s="1133"/>
      <c r="B22" s="1134"/>
      <c r="C22" s="379">
        <v>39.5</v>
      </c>
      <c r="D22" s="378">
        <v>55</v>
      </c>
      <c r="E22" s="367" t="s">
        <v>67</v>
      </c>
      <c r="F22" s="378" t="s">
        <v>708</v>
      </c>
      <c r="G22" s="384">
        <v>39.5</v>
      </c>
      <c r="H22" s="384">
        <v>42</v>
      </c>
      <c r="I22" s="384">
        <v>44.5</v>
      </c>
      <c r="J22" s="384">
        <v>49</v>
      </c>
      <c r="K22" s="384">
        <v>50</v>
      </c>
      <c r="L22" s="384">
        <v>51</v>
      </c>
      <c r="M22" s="384">
        <v>52</v>
      </c>
      <c r="N22" s="384">
        <v>53</v>
      </c>
      <c r="O22" s="384">
        <v>54</v>
      </c>
      <c r="P22" s="384">
        <v>55</v>
      </c>
      <c r="Q22" s="384" t="s">
        <v>708</v>
      </c>
      <c r="S22" s="385" t="s">
        <v>90</v>
      </c>
    </row>
    <row r="23" spans="1:19" ht="12">
      <c r="B23" s="386"/>
    </row>
    <row r="25" spans="1:19" ht="12.6" thickBot="1">
      <c r="B25" s="386" t="s">
        <v>729</v>
      </c>
    </row>
    <row r="26" spans="1:19" ht="106.2" thickBot="1">
      <c r="A26" s="17" t="s">
        <v>211</v>
      </c>
      <c r="B26" s="17" t="s">
        <v>212</v>
      </c>
      <c r="C26" s="17" t="s">
        <v>213</v>
      </c>
      <c r="D26" s="17" t="s">
        <v>214</v>
      </c>
      <c r="E26" s="17" t="s">
        <v>215</v>
      </c>
      <c r="F26" s="17" t="s">
        <v>216</v>
      </c>
      <c r="G26" s="17" t="s">
        <v>712</v>
      </c>
      <c r="H26" s="17">
        <v>2020</v>
      </c>
      <c r="I26" s="17">
        <v>2021</v>
      </c>
      <c r="J26" s="17">
        <v>2022</v>
      </c>
      <c r="K26" s="17">
        <v>2023</v>
      </c>
      <c r="L26" s="17">
        <v>2024</v>
      </c>
      <c r="M26" s="17">
        <v>2025</v>
      </c>
      <c r="N26" s="17">
        <v>2026</v>
      </c>
      <c r="O26" s="17">
        <v>2027</v>
      </c>
      <c r="P26" s="17">
        <v>2028</v>
      </c>
      <c r="Q26" s="17">
        <v>2029</v>
      </c>
      <c r="R26" s="17">
        <v>2030</v>
      </c>
    </row>
    <row r="27" spans="1:19" ht="12" thickTop="1">
      <c r="A27" s="1136" t="s">
        <v>223</v>
      </c>
      <c r="B27" s="19" t="s">
        <v>224</v>
      </c>
      <c r="C27" s="19" t="s">
        <v>232</v>
      </c>
      <c r="D27" s="1136" t="s">
        <v>67</v>
      </c>
      <c r="E27" s="1136" t="s">
        <v>233</v>
      </c>
      <c r="F27" s="1135"/>
      <c r="G27" s="1136" t="s">
        <v>708</v>
      </c>
      <c r="H27" s="349"/>
      <c r="I27" s="349"/>
      <c r="J27" s="350">
        <f>1300/9</f>
        <v>144.44444444444446</v>
      </c>
      <c r="K27" s="350">
        <f t="shared" ref="K27:R27" si="0">1300/9</f>
        <v>144.44444444444446</v>
      </c>
      <c r="L27" s="350">
        <f t="shared" si="0"/>
        <v>144.44444444444446</v>
      </c>
      <c r="M27" s="350">
        <f t="shared" si="0"/>
        <v>144.44444444444446</v>
      </c>
      <c r="N27" s="350">
        <f t="shared" si="0"/>
        <v>144.44444444444446</v>
      </c>
      <c r="O27" s="350">
        <f t="shared" si="0"/>
        <v>144.44444444444446</v>
      </c>
      <c r="P27" s="350">
        <f t="shared" si="0"/>
        <v>144.44444444444446</v>
      </c>
      <c r="Q27" s="350">
        <f t="shared" si="0"/>
        <v>144.44444444444446</v>
      </c>
      <c r="R27" s="350">
        <f t="shared" si="0"/>
        <v>144.44444444444446</v>
      </c>
    </row>
    <row r="28" spans="1:19" ht="12" thickBot="1">
      <c r="A28" s="1135"/>
      <c r="B28" s="19" t="s">
        <v>225</v>
      </c>
      <c r="C28" s="18">
        <v>10</v>
      </c>
      <c r="D28" s="1135"/>
      <c r="E28" s="1135"/>
      <c r="F28" s="1135"/>
      <c r="G28" s="1135"/>
      <c r="H28" s="349"/>
      <c r="I28" s="349"/>
      <c r="J28" s="350">
        <v>1</v>
      </c>
      <c r="K28" s="350">
        <v>1</v>
      </c>
      <c r="L28" s="350">
        <v>1</v>
      </c>
      <c r="M28" s="350">
        <v>1</v>
      </c>
      <c r="N28" s="350">
        <v>1</v>
      </c>
      <c r="O28" s="350">
        <v>1</v>
      </c>
      <c r="P28" s="350">
        <v>1</v>
      </c>
      <c r="Q28" s="350">
        <v>1</v>
      </c>
      <c r="R28" s="350">
        <v>2</v>
      </c>
    </row>
    <row r="29" spans="1:19" ht="12" thickBot="1">
      <c r="A29" s="1135"/>
      <c r="B29" s="19" t="s">
        <v>226</v>
      </c>
      <c r="C29" s="18">
        <v>10</v>
      </c>
      <c r="D29" s="1135"/>
      <c r="E29" s="1135"/>
      <c r="F29" s="1135"/>
      <c r="G29" s="1135"/>
      <c r="H29" s="349"/>
      <c r="I29" s="349"/>
      <c r="J29" s="350">
        <v>1</v>
      </c>
      <c r="K29" s="350">
        <v>1</v>
      </c>
      <c r="L29" s="350">
        <v>1</v>
      </c>
      <c r="M29" s="350">
        <v>1</v>
      </c>
      <c r="N29" s="350">
        <v>1</v>
      </c>
      <c r="O29" s="350">
        <v>1</v>
      </c>
      <c r="P29" s="350">
        <v>1</v>
      </c>
      <c r="Q29" s="350">
        <v>1</v>
      </c>
      <c r="R29" s="350">
        <v>2</v>
      </c>
    </row>
    <row r="30" spans="1:19" ht="12" thickBot="1">
      <c r="A30" s="1135"/>
      <c r="B30" s="19" t="s">
        <v>227</v>
      </c>
      <c r="C30" s="18">
        <v>25</v>
      </c>
      <c r="D30" s="1135"/>
      <c r="E30" s="1135"/>
      <c r="F30" s="1135"/>
      <c r="G30" s="1135"/>
      <c r="H30" s="349"/>
      <c r="I30" s="349"/>
      <c r="J30" s="350">
        <v>3</v>
      </c>
      <c r="K30" s="350">
        <v>3</v>
      </c>
      <c r="L30" s="350">
        <v>3</v>
      </c>
      <c r="M30" s="350">
        <v>3</v>
      </c>
      <c r="N30" s="350">
        <v>3</v>
      </c>
      <c r="O30" s="350">
        <v>3</v>
      </c>
      <c r="P30" s="350">
        <v>3</v>
      </c>
      <c r="Q30" s="350">
        <v>3</v>
      </c>
      <c r="R30" s="350">
        <v>1</v>
      </c>
    </row>
    <row r="31" spans="1:19" ht="12" thickBot="1">
      <c r="A31" s="1135"/>
      <c r="B31" s="19" t="s">
        <v>228</v>
      </c>
      <c r="C31" s="18">
        <v>20</v>
      </c>
      <c r="D31" s="1135"/>
      <c r="E31" s="1135"/>
      <c r="F31" s="1135"/>
      <c r="G31" s="1135"/>
      <c r="H31" s="349"/>
      <c r="I31" s="349"/>
      <c r="J31" s="350">
        <v>2</v>
      </c>
      <c r="K31" s="350">
        <v>2</v>
      </c>
      <c r="L31" s="350">
        <v>2</v>
      </c>
      <c r="M31" s="350">
        <v>2</v>
      </c>
      <c r="N31" s="350">
        <v>2</v>
      </c>
      <c r="O31" s="350">
        <v>2</v>
      </c>
      <c r="P31" s="350">
        <v>2</v>
      </c>
      <c r="Q31" s="350">
        <v>2</v>
      </c>
      <c r="R31" s="350">
        <v>4</v>
      </c>
    </row>
    <row r="32" spans="1:19" ht="12" thickBot="1">
      <c r="A32" s="1135"/>
      <c r="B32" s="19" t="s">
        <v>229</v>
      </c>
      <c r="C32" s="18">
        <v>3</v>
      </c>
      <c r="D32" s="1135"/>
      <c r="E32" s="1135"/>
      <c r="F32" s="1135"/>
      <c r="G32" s="1135"/>
      <c r="H32" s="349"/>
      <c r="I32" s="349"/>
      <c r="J32" s="350">
        <v>1</v>
      </c>
      <c r="K32" s="350"/>
      <c r="L32" s="350"/>
      <c r="M32" s="350"/>
      <c r="N32" s="350">
        <v>1</v>
      </c>
      <c r="O32" s="350"/>
      <c r="P32" s="350"/>
      <c r="Q32" s="350"/>
      <c r="R32" s="350">
        <v>1</v>
      </c>
    </row>
    <row r="33" spans="1:18">
      <c r="A33" s="1135"/>
      <c r="B33" s="19" t="s">
        <v>230</v>
      </c>
      <c r="C33" s="19" t="s">
        <v>718</v>
      </c>
      <c r="D33" s="1135"/>
      <c r="E33" s="1135"/>
      <c r="F33" s="1135"/>
      <c r="G33" s="1135"/>
      <c r="H33" s="349"/>
      <c r="I33" s="349"/>
      <c r="J33" s="350"/>
      <c r="K33" s="350"/>
      <c r="L33" s="350"/>
      <c r="M33" s="350"/>
      <c r="N33" s="350"/>
      <c r="O33" s="350"/>
      <c r="P33" s="350"/>
      <c r="Q33" s="350"/>
      <c r="R33" s="350">
        <v>55</v>
      </c>
    </row>
    <row r="34" spans="1:18" ht="12" thickBot="1">
      <c r="A34" s="1137"/>
      <c r="B34" s="18" t="s">
        <v>231</v>
      </c>
      <c r="C34" s="18" t="s">
        <v>719</v>
      </c>
      <c r="D34" s="1137"/>
      <c r="E34" s="1137"/>
      <c r="F34" s="1135"/>
      <c r="G34" s="1137"/>
      <c r="H34" s="358"/>
      <c r="I34" s="358"/>
      <c r="J34" s="359"/>
      <c r="K34" s="359"/>
      <c r="L34" s="359"/>
      <c r="M34" s="359"/>
      <c r="N34" s="359"/>
      <c r="O34" s="359"/>
      <c r="P34" s="359"/>
      <c r="Q34" s="359"/>
      <c r="R34" s="359">
        <v>35</v>
      </c>
    </row>
    <row r="35" spans="1:18">
      <c r="A35" s="1136" t="s">
        <v>223</v>
      </c>
      <c r="B35" s="19" t="s">
        <v>246</v>
      </c>
      <c r="C35" s="19" t="s">
        <v>249</v>
      </c>
      <c r="D35" s="1136" t="s">
        <v>67</v>
      </c>
      <c r="E35" s="1136" t="s">
        <v>250</v>
      </c>
      <c r="F35" s="19" t="s">
        <v>251</v>
      </c>
      <c r="G35" s="1136" t="s">
        <v>708</v>
      </c>
      <c r="H35" s="349"/>
      <c r="I35" s="349"/>
      <c r="J35" s="350">
        <v>155</v>
      </c>
      <c r="K35" s="350">
        <f>J35</f>
        <v>155</v>
      </c>
      <c r="L35" s="350">
        <f t="shared" ref="L35:Q39" si="1">K35</f>
        <v>155</v>
      </c>
      <c r="M35" s="350">
        <f t="shared" si="1"/>
        <v>155</v>
      </c>
      <c r="N35" s="350">
        <f t="shared" si="1"/>
        <v>155</v>
      </c>
      <c r="O35" s="350">
        <f t="shared" si="1"/>
        <v>155</v>
      </c>
      <c r="P35" s="350">
        <f t="shared" si="1"/>
        <v>155</v>
      </c>
      <c r="Q35" s="350">
        <f t="shared" si="1"/>
        <v>155</v>
      </c>
      <c r="R35" s="350">
        <f>1400-SUM(J35:Q35)</f>
        <v>160</v>
      </c>
    </row>
    <row r="36" spans="1:18" ht="19.2">
      <c r="A36" s="1135"/>
      <c r="B36" s="19" t="s">
        <v>247</v>
      </c>
      <c r="C36" s="19" t="s">
        <v>720</v>
      </c>
      <c r="D36" s="1135"/>
      <c r="E36" s="1135"/>
      <c r="F36" s="19" t="s">
        <v>252</v>
      </c>
      <c r="G36" s="1135"/>
      <c r="H36" s="349"/>
      <c r="I36" s="349"/>
      <c r="J36" s="350">
        <v>22</v>
      </c>
      <c r="K36" s="350">
        <f>J36</f>
        <v>22</v>
      </c>
      <c r="L36" s="350">
        <f t="shared" si="1"/>
        <v>22</v>
      </c>
      <c r="M36" s="350">
        <f t="shared" si="1"/>
        <v>22</v>
      </c>
      <c r="N36" s="350">
        <f t="shared" si="1"/>
        <v>22</v>
      </c>
      <c r="O36" s="350">
        <f t="shared" si="1"/>
        <v>22</v>
      </c>
      <c r="P36" s="350">
        <f t="shared" si="1"/>
        <v>22</v>
      </c>
      <c r="Q36" s="350">
        <f t="shared" si="1"/>
        <v>22</v>
      </c>
      <c r="R36" s="350">
        <f>200-SUM(J36:Q36)</f>
        <v>24</v>
      </c>
    </row>
    <row r="37" spans="1:18" ht="29.4" thickBot="1">
      <c r="A37" s="1135"/>
      <c r="B37" s="19" t="s">
        <v>248</v>
      </c>
      <c r="C37" s="18">
        <v>40</v>
      </c>
      <c r="D37" s="1135"/>
      <c r="E37" s="1135"/>
      <c r="F37" s="19" t="s">
        <v>253</v>
      </c>
      <c r="G37" s="1135"/>
      <c r="H37" s="349"/>
      <c r="I37" s="349"/>
      <c r="J37" s="350">
        <v>4</v>
      </c>
      <c r="K37" s="350">
        <f>J37</f>
        <v>4</v>
      </c>
      <c r="L37" s="350">
        <f t="shared" si="1"/>
        <v>4</v>
      </c>
      <c r="M37" s="350">
        <f t="shared" si="1"/>
        <v>4</v>
      </c>
      <c r="N37" s="350">
        <f t="shared" si="1"/>
        <v>4</v>
      </c>
      <c r="O37" s="350">
        <f t="shared" si="1"/>
        <v>4</v>
      </c>
      <c r="P37" s="350">
        <f t="shared" si="1"/>
        <v>4</v>
      </c>
      <c r="Q37" s="350">
        <f t="shared" si="1"/>
        <v>4</v>
      </c>
      <c r="R37" s="350">
        <f>40-SUM(J37:Q37)</f>
        <v>8</v>
      </c>
    </row>
    <row r="38" spans="1:18" ht="15" thickBot="1">
      <c r="A38" s="1137"/>
      <c r="B38" s="20"/>
      <c r="C38" s="20"/>
      <c r="D38" s="1137"/>
      <c r="E38" s="1137"/>
      <c r="F38" s="18" t="s">
        <v>254</v>
      </c>
      <c r="G38" s="1137"/>
      <c r="H38" s="360"/>
      <c r="I38" s="360"/>
      <c r="J38" s="361"/>
      <c r="K38" s="361"/>
      <c r="L38" s="361"/>
      <c r="M38" s="361"/>
      <c r="N38" s="361"/>
      <c r="O38" s="361"/>
      <c r="P38" s="361"/>
      <c r="Q38" s="361"/>
      <c r="R38" s="361"/>
    </row>
    <row r="39" spans="1:18" ht="29.4" thickBot="1">
      <c r="A39" s="18" t="s">
        <v>223</v>
      </c>
      <c r="B39" s="18" t="s">
        <v>256</v>
      </c>
      <c r="C39" s="18" t="s">
        <v>257</v>
      </c>
      <c r="D39" s="18" t="s">
        <v>67</v>
      </c>
      <c r="E39" s="18" t="s">
        <v>258</v>
      </c>
      <c r="F39" s="18" t="s">
        <v>221</v>
      </c>
      <c r="G39" s="18" t="s">
        <v>708</v>
      </c>
      <c r="H39" s="358"/>
      <c r="I39" s="358"/>
      <c r="J39" s="359">
        <v>2777</v>
      </c>
      <c r="K39" s="359">
        <f>J39</f>
        <v>2777</v>
      </c>
      <c r="L39" s="350">
        <f t="shared" si="1"/>
        <v>2777</v>
      </c>
      <c r="M39" s="350">
        <f t="shared" si="1"/>
        <v>2777</v>
      </c>
      <c r="N39" s="350">
        <f t="shared" si="1"/>
        <v>2777</v>
      </c>
      <c r="O39" s="350">
        <f t="shared" si="1"/>
        <v>2777</v>
      </c>
      <c r="P39" s="350">
        <f t="shared" si="1"/>
        <v>2777</v>
      </c>
      <c r="Q39" s="350">
        <f t="shared" si="1"/>
        <v>2777</v>
      </c>
      <c r="R39" s="350">
        <f>25000-SUM(J39:Q39)</f>
        <v>2784</v>
      </c>
    </row>
    <row r="40" spans="1:18">
      <c r="A40" s="1136" t="s">
        <v>223</v>
      </c>
      <c r="B40" s="1136" t="s">
        <v>266</v>
      </c>
      <c r="C40" s="1142">
        <v>50</v>
      </c>
      <c r="D40" s="1136" t="s">
        <v>67</v>
      </c>
      <c r="E40" s="1136" t="s">
        <v>267</v>
      </c>
      <c r="F40" s="19" t="s">
        <v>268</v>
      </c>
      <c r="G40" s="1136" t="s">
        <v>708</v>
      </c>
      <c r="H40" s="1148"/>
      <c r="I40" s="1148"/>
      <c r="J40" s="1148"/>
      <c r="K40" s="1145">
        <v>6</v>
      </c>
      <c r="L40" s="1145">
        <v>6</v>
      </c>
      <c r="M40" s="1145">
        <v>6</v>
      </c>
      <c r="N40" s="1145">
        <v>6</v>
      </c>
      <c r="O40" s="1145">
        <v>6</v>
      </c>
      <c r="P40" s="1145">
        <v>6</v>
      </c>
      <c r="Q40" s="1145">
        <v>6</v>
      </c>
      <c r="R40" s="1145">
        <f>50-SUM(K40:Q42)</f>
        <v>8</v>
      </c>
    </row>
    <row r="41" spans="1:18" ht="19.2">
      <c r="A41" s="1135"/>
      <c r="B41" s="1135"/>
      <c r="C41" s="1143"/>
      <c r="D41" s="1135"/>
      <c r="E41" s="1135"/>
      <c r="F41" s="19" t="s">
        <v>252</v>
      </c>
      <c r="G41" s="1135"/>
      <c r="H41" s="1149"/>
      <c r="I41" s="1149"/>
      <c r="J41" s="1149"/>
      <c r="K41" s="1146"/>
      <c r="L41" s="1146"/>
      <c r="M41" s="1146"/>
      <c r="N41" s="1146"/>
      <c r="O41" s="1146"/>
      <c r="P41" s="1146"/>
      <c r="Q41" s="1146"/>
      <c r="R41" s="1146"/>
    </row>
    <row r="42" spans="1:18" ht="29.4" thickBot="1">
      <c r="A42" s="1137"/>
      <c r="B42" s="1137"/>
      <c r="C42" s="1144"/>
      <c r="D42" s="1137"/>
      <c r="E42" s="1137"/>
      <c r="F42" s="18" t="s">
        <v>264</v>
      </c>
      <c r="G42" s="1137"/>
      <c r="H42" s="1150"/>
      <c r="I42" s="1150"/>
      <c r="J42" s="1150"/>
      <c r="K42" s="1147"/>
      <c r="L42" s="1147"/>
      <c r="M42" s="1147"/>
      <c r="N42" s="1147"/>
      <c r="O42" s="1147"/>
      <c r="P42" s="1147"/>
      <c r="Q42" s="1147"/>
      <c r="R42" s="1147"/>
    </row>
    <row r="43" spans="1:18">
      <c r="A43" s="1136" t="s">
        <v>223</v>
      </c>
      <c r="B43" s="19" t="s">
        <v>270</v>
      </c>
      <c r="C43" s="19">
        <v>5</v>
      </c>
      <c r="D43" s="1136" t="s">
        <v>67</v>
      </c>
      <c r="E43" s="1136" t="s">
        <v>272</v>
      </c>
      <c r="F43" s="19" t="s">
        <v>268</v>
      </c>
      <c r="G43" s="1136" t="s">
        <v>708</v>
      </c>
      <c r="H43" s="349"/>
      <c r="I43" s="349"/>
      <c r="J43" s="350">
        <v>1</v>
      </c>
      <c r="K43" s="350"/>
      <c r="L43" s="350">
        <v>1</v>
      </c>
      <c r="M43" s="350"/>
      <c r="N43" s="350">
        <v>1</v>
      </c>
      <c r="O43" s="350"/>
      <c r="P43" s="350">
        <v>1</v>
      </c>
      <c r="Q43" s="350"/>
      <c r="R43" s="350">
        <v>1</v>
      </c>
    </row>
    <row r="44" spans="1:18" ht="19.2">
      <c r="A44" s="1135"/>
      <c r="B44" s="19" t="s">
        <v>271</v>
      </c>
      <c r="C44" s="19">
        <v>10</v>
      </c>
      <c r="D44" s="1135"/>
      <c r="E44" s="1135"/>
      <c r="F44" s="19" t="s">
        <v>244</v>
      </c>
      <c r="G44" s="1135"/>
      <c r="H44" s="349"/>
      <c r="I44" s="349"/>
      <c r="J44" s="350">
        <v>1</v>
      </c>
      <c r="K44" s="350">
        <v>1</v>
      </c>
      <c r="L44" s="350">
        <v>1</v>
      </c>
      <c r="M44" s="350">
        <v>1</v>
      </c>
      <c r="N44" s="350">
        <v>1</v>
      </c>
      <c r="O44" s="350">
        <v>1</v>
      </c>
      <c r="P44" s="350">
        <v>1</v>
      </c>
      <c r="Q44" s="350">
        <v>1</v>
      </c>
      <c r="R44" s="350">
        <v>2</v>
      </c>
    </row>
    <row r="45" spans="1:18" ht="29.4" thickBot="1">
      <c r="A45" s="1137"/>
      <c r="B45" s="20"/>
      <c r="C45" s="20"/>
      <c r="D45" s="1137"/>
      <c r="E45" s="1137"/>
      <c r="F45" s="18" t="s">
        <v>264</v>
      </c>
      <c r="G45" s="1137"/>
      <c r="H45" s="360"/>
      <c r="I45" s="360"/>
      <c r="J45" s="361"/>
      <c r="K45" s="361"/>
      <c r="L45" s="361"/>
      <c r="M45" s="361"/>
      <c r="N45" s="361"/>
      <c r="O45" s="361"/>
      <c r="P45" s="361"/>
      <c r="Q45" s="361"/>
      <c r="R45" s="361"/>
    </row>
    <row r="46" spans="1:18">
      <c r="A46" s="1136" t="s">
        <v>223</v>
      </c>
      <c r="B46" s="1136" t="s">
        <v>278</v>
      </c>
      <c r="C46" s="1136">
        <v>3</v>
      </c>
      <c r="D46" s="1136" t="s">
        <v>279</v>
      </c>
      <c r="E46" s="1136" t="s">
        <v>280</v>
      </c>
      <c r="F46" s="19" t="s">
        <v>281</v>
      </c>
      <c r="G46" s="1136" t="s">
        <v>708</v>
      </c>
      <c r="H46" s="1153"/>
      <c r="I46" s="1153"/>
      <c r="J46" s="1151">
        <v>1</v>
      </c>
      <c r="K46" s="1151"/>
      <c r="L46" s="1151"/>
      <c r="M46" s="1151"/>
      <c r="N46" s="1151">
        <v>1</v>
      </c>
      <c r="O46" s="1151"/>
      <c r="P46" s="1151"/>
      <c r="Q46" s="1151"/>
      <c r="R46" s="1151">
        <v>1</v>
      </c>
    </row>
    <row r="47" spans="1:18" ht="19.8" thickBot="1">
      <c r="A47" s="1137"/>
      <c r="B47" s="1137"/>
      <c r="C47" s="1137"/>
      <c r="D47" s="1137"/>
      <c r="E47" s="1137"/>
      <c r="F47" s="18" t="s">
        <v>282</v>
      </c>
      <c r="G47" s="1137"/>
      <c r="H47" s="1154"/>
      <c r="I47" s="1154"/>
      <c r="J47" s="1152"/>
      <c r="K47" s="1152"/>
      <c r="L47" s="1152"/>
      <c r="M47" s="1152"/>
      <c r="N47" s="1152"/>
      <c r="O47" s="1152"/>
      <c r="P47" s="1152"/>
      <c r="Q47" s="1152"/>
      <c r="R47" s="1152"/>
    </row>
    <row r="48" spans="1:18">
      <c r="A48" s="1136" t="s">
        <v>223</v>
      </c>
      <c r="B48" s="19" t="s">
        <v>291</v>
      </c>
      <c r="C48" s="19">
        <v>200</v>
      </c>
      <c r="D48" s="1136" t="s">
        <v>67</v>
      </c>
      <c r="E48" s="1136" t="s">
        <v>293</v>
      </c>
      <c r="F48" s="19" t="s">
        <v>286</v>
      </c>
      <c r="G48" s="1136" t="s">
        <v>708</v>
      </c>
      <c r="H48" s="349"/>
      <c r="I48" s="349"/>
      <c r="J48" s="350">
        <v>22</v>
      </c>
      <c r="K48" s="350">
        <f>J48</f>
        <v>22</v>
      </c>
      <c r="L48" s="350">
        <f t="shared" ref="L48:Q49" si="2">K48</f>
        <v>22</v>
      </c>
      <c r="M48" s="350">
        <f t="shared" si="2"/>
        <v>22</v>
      </c>
      <c r="N48" s="350">
        <f t="shared" si="2"/>
        <v>22</v>
      </c>
      <c r="O48" s="350">
        <f t="shared" si="2"/>
        <v>22</v>
      </c>
      <c r="P48" s="350">
        <f t="shared" si="2"/>
        <v>22</v>
      </c>
      <c r="Q48" s="350">
        <f t="shared" si="2"/>
        <v>22</v>
      </c>
      <c r="R48" s="350">
        <f>200-SUM(J48:Q48)</f>
        <v>24</v>
      </c>
    </row>
    <row r="49" spans="1:18" ht="19.2">
      <c r="A49" s="1135"/>
      <c r="B49" s="19" t="s">
        <v>292</v>
      </c>
      <c r="C49" s="19">
        <v>100</v>
      </c>
      <c r="D49" s="1135"/>
      <c r="E49" s="1135"/>
      <c r="F49" s="19" t="s">
        <v>252</v>
      </c>
      <c r="G49" s="1135"/>
      <c r="H49" s="349"/>
      <c r="I49" s="349"/>
      <c r="J49" s="350">
        <v>11</v>
      </c>
      <c r="K49" s="350">
        <f>J49</f>
        <v>11</v>
      </c>
      <c r="L49" s="350">
        <f t="shared" si="2"/>
        <v>11</v>
      </c>
      <c r="M49" s="350">
        <f t="shared" si="2"/>
        <v>11</v>
      </c>
      <c r="N49" s="350">
        <f t="shared" si="2"/>
        <v>11</v>
      </c>
      <c r="O49" s="350">
        <f t="shared" si="2"/>
        <v>11</v>
      </c>
      <c r="P49" s="350">
        <f t="shared" si="2"/>
        <v>11</v>
      </c>
      <c r="Q49" s="350">
        <f t="shared" si="2"/>
        <v>11</v>
      </c>
      <c r="R49" s="350">
        <f>100-SUM(J49:Q49)</f>
        <v>12</v>
      </c>
    </row>
    <row r="50" spans="1:18" ht="52.8" thickBot="1">
      <c r="A50" s="1137"/>
      <c r="B50" s="20"/>
      <c r="C50" s="20"/>
      <c r="D50" s="1137"/>
      <c r="E50" s="1137"/>
      <c r="F50" s="18" t="s">
        <v>294</v>
      </c>
      <c r="G50" s="1137"/>
      <c r="H50" s="360"/>
      <c r="I50" s="360"/>
      <c r="J50" s="361"/>
      <c r="K50" s="361"/>
      <c r="L50" s="361"/>
      <c r="M50" s="361"/>
      <c r="N50" s="361"/>
      <c r="O50" s="361"/>
      <c r="P50" s="361"/>
      <c r="Q50" s="361"/>
      <c r="R50" s="361"/>
    </row>
    <row r="51" spans="1:18">
      <c r="A51" s="1136" t="s">
        <v>223</v>
      </c>
      <c r="B51" s="1136" t="s">
        <v>296</v>
      </c>
      <c r="C51" s="1136">
        <v>823</v>
      </c>
      <c r="D51" s="1136" t="s">
        <v>297</v>
      </c>
      <c r="E51" s="1136" t="s">
        <v>298</v>
      </c>
      <c r="F51" s="19" t="s">
        <v>281</v>
      </c>
      <c r="G51" s="1136" t="s">
        <v>708</v>
      </c>
      <c r="H51" s="1153"/>
      <c r="I51" s="1153"/>
      <c r="J51" s="1151">
        <v>91</v>
      </c>
      <c r="K51" s="1151">
        <f>J51</f>
        <v>91</v>
      </c>
      <c r="L51" s="1151">
        <f t="shared" ref="L51:Q51" si="3">K51</f>
        <v>91</v>
      </c>
      <c r="M51" s="1151">
        <f t="shared" si="3"/>
        <v>91</v>
      </c>
      <c r="N51" s="1151">
        <f t="shared" si="3"/>
        <v>91</v>
      </c>
      <c r="O51" s="1151">
        <f t="shared" si="3"/>
        <v>91</v>
      </c>
      <c r="P51" s="1151">
        <f t="shared" si="3"/>
        <v>91</v>
      </c>
      <c r="Q51" s="1151">
        <f t="shared" si="3"/>
        <v>91</v>
      </c>
      <c r="R51" s="1151">
        <f>823-SUM(J51:Q53)</f>
        <v>95</v>
      </c>
    </row>
    <row r="52" spans="1:18" ht="19.2">
      <c r="A52" s="1135"/>
      <c r="B52" s="1135"/>
      <c r="C52" s="1135"/>
      <c r="D52" s="1135"/>
      <c r="E52" s="1135"/>
      <c r="F52" s="19" t="s">
        <v>252</v>
      </c>
      <c r="G52" s="1135"/>
      <c r="H52" s="1155"/>
      <c r="I52" s="1155"/>
      <c r="J52" s="1156"/>
      <c r="K52" s="1156"/>
      <c r="L52" s="1156"/>
      <c r="M52" s="1156"/>
      <c r="N52" s="1156"/>
      <c r="O52" s="1156"/>
      <c r="P52" s="1156"/>
      <c r="Q52" s="1156"/>
      <c r="R52" s="1156"/>
    </row>
    <row r="53" spans="1:18" ht="48.6" thickBot="1">
      <c r="A53" s="1137"/>
      <c r="B53" s="1137"/>
      <c r="C53" s="1137"/>
      <c r="D53" s="1137"/>
      <c r="E53" s="1137"/>
      <c r="F53" s="18" t="s">
        <v>288</v>
      </c>
      <c r="G53" s="1137"/>
      <c r="H53" s="1154"/>
      <c r="I53" s="1154"/>
      <c r="J53" s="1152"/>
      <c r="K53" s="1152"/>
      <c r="L53" s="1152"/>
      <c r="M53" s="1152"/>
      <c r="N53" s="1152"/>
      <c r="O53" s="1152"/>
      <c r="P53" s="1152"/>
      <c r="Q53" s="1152"/>
      <c r="R53" s="1152"/>
    </row>
    <row r="54" spans="1:18">
      <c r="A54" s="1136" t="s">
        <v>300</v>
      </c>
      <c r="B54" s="1136" t="s">
        <v>301</v>
      </c>
      <c r="C54" s="1136">
        <v>6</v>
      </c>
      <c r="D54" s="1136" t="s">
        <v>297</v>
      </c>
      <c r="E54" s="1136" t="s">
        <v>302</v>
      </c>
      <c r="F54" s="19" t="s">
        <v>303</v>
      </c>
      <c r="G54" s="1136" t="s">
        <v>708</v>
      </c>
      <c r="H54" s="1153"/>
      <c r="I54" s="1153"/>
      <c r="J54" s="1151">
        <v>2</v>
      </c>
      <c r="K54" s="1151">
        <v>2</v>
      </c>
      <c r="L54" s="1151">
        <v>2</v>
      </c>
      <c r="M54" s="1153"/>
      <c r="N54" s="1153"/>
      <c r="O54" s="1153"/>
      <c r="P54" s="1153"/>
      <c r="Q54" s="1153"/>
      <c r="R54" s="1153"/>
    </row>
    <row r="55" spans="1:18" ht="19.2">
      <c r="A55" s="1135"/>
      <c r="B55" s="1135"/>
      <c r="C55" s="1135"/>
      <c r="D55" s="1135"/>
      <c r="E55" s="1135"/>
      <c r="F55" s="19" t="s">
        <v>252</v>
      </c>
      <c r="G55" s="1135"/>
      <c r="H55" s="1155"/>
      <c r="I55" s="1155"/>
      <c r="J55" s="1156"/>
      <c r="K55" s="1156"/>
      <c r="L55" s="1156"/>
      <c r="M55" s="1155"/>
      <c r="N55" s="1155"/>
      <c r="O55" s="1155"/>
      <c r="P55" s="1155"/>
      <c r="Q55" s="1155"/>
      <c r="R55" s="1155"/>
    </row>
    <row r="56" spans="1:18" ht="48.6" thickBot="1">
      <c r="A56" s="1137"/>
      <c r="B56" s="1137"/>
      <c r="C56" s="1137"/>
      <c r="D56" s="1137"/>
      <c r="E56" s="1137"/>
      <c r="F56" s="18" t="s">
        <v>304</v>
      </c>
      <c r="G56" s="1137"/>
      <c r="H56" s="1154"/>
      <c r="I56" s="1154"/>
      <c r="J56" s="1152"/>
      <c r="K56" s="1152"/>
      <c r="L56" s="1152"/>
      <c r="M56" s="1154"/>
      <c r="N56" s="1154"/>
      <c r="O56" s="1154"/>
      <c r="P56" s="1154"/>
      <c r="Q56" s="1154"/>
      <c r="R56" s="1154"/>
    </row>
    <row r="57" spans="1:18" ht="29.4" thickBot="1">
      <c r="A57" s="18" t="s">
        <v>308</v>
      </c>
      <c r="B57" s="18" t="s">
        <v>309</v>
      </c>
      <c r="C57" s="18">
        <v>6</v>
      </c>
      <c r="D57" s="18" t="s">
        <v>297</v>
      </c>
      <c r="E57" s="18" t="s">
        <v>310</v>
      </c>
      <c r="F57" s="18" t="s">
        <v>311</v>
      </c>
      <c r="G57" s="18" t="s">
        <v>708</v>
      </c>
      <c r="H57" s="358"/>
      <c r="I57" s="358"/>
      <c r="J57" s="359">
        <v>1</v>
      </c>
      <c r="K57" s="359">
        <v>2</v>
      </c>
      <c r="L57" s="359">
        <v>1</v>
      </c>
      <c r="M57" s="359">
        <v>2</v>
      </c>
      <c r="N57" s="358"/>
      <c r="O57" s="358"/>
      <c r="P57" s="358"/>
      <c r="Q57" s="358"/>
      <c r="R57" s="358"/>
    </row>
  </sheetData>
  <mergeCells count="119">
    <mergeCell ref="L54:L56"/>
    <mergeCell ref="N51:N53"/>
    <mergeCell ref="O51:O53"/>
    <mergeCell ref="P51:P53"/>
    <mergeCell ref="Q51:Q53"/>
    <mergeCell ref="R51:R53"/>
    <mergeCell ref="L51:L53"/>
    <mergeCell ref="M51:M53"/>
    <mergeCell ref="M54:M56"/>
    <mergeCell ref="N54:N56"/>
    <mergeCell ref="O54:O56"/>
    <mergeCell ref="P54:P56"/>
    <mergeCell ref="Q54:Q56"/>
    <mergeCell ref="R54:R56"/>
    <mergeCell ref="A54:A56"/>
    <mergeCell ref="B54:B56"/>
    <mergeCell ref="C54:C56"/>
    <mergeCell ref="D54:D56"/>
    <mergeCell ref="E54:E56"/>
    <mergeCell ref="H51:H53"/>
    <mergeCell ref="I51:I53"/>
    <mergeCell ref="J51:J53"/>
    <mergeCell ref="K51:K53"/>
    <mergeCell ref="G54:G56"/>
    <mergeCell ref="H54:H56"/>
    <mergeCell ref="I54:I56"/>
    <mergeCell ref="J54:J56"/>
    <mergeCell ref="K54:K56"/>
    <mergeCell ref="A48:A50"/>
    <mergeCell ref="D48:D50"/>
    <mergeCell ref="E48:E50"/>
    <mergeCell ref="G48:G50"/>
    <mergeCell ref="A51:A53"/>
    <mergeCell ref="B51:B53"/>
    <mergeCell ref="C51:C53"/>
    <mergeCell ref="D51:D53"/>
    <mergeCell ref="E51:E53"/>
    <mergeCell ref="G51:G53"/>
    <mergeCell ref="N46:N47"/>
    <mergeCell ref="O46:O47"/>
    <mergeCell ref="P46:P47"/>
    <mergeCell ref="Q46:Q47"/>
    <mergeCell ref="R46:R47"/>
    <mergeCell ref="H46:H47"/>
    <mergeCell ref="I46:I47"/>
    <mergeCell ref="J46:J47"/>
    <mergeCell ref="K46:K47"/>
    <mergeCell ref="L46:L47"/>
    <mergeCell ref="M46:M47"/>
    <mergeCell ref="A46:A47"/>
    <mergeCell ref="B46:B47"/>
    <mergeCell ref="C46:C47"/>
    <mergeCell ref="D46:D47"/>
    <mergeCell ref="E46:E47"/>
    <mergeCell ref="G46:G47"/>
    <mergeCell ref="A43:A45"/>
    <mergeCell ref="D43:D45"/>
    <mergeCell ref="E43:E45"/>
    <mergeCell ref="G43:G45"/>
    <mergeCell ref="M40:M42"/>
    <mergeCell ref="N40:N42"/>
    <mergeCell ref="O40:O42"/>
    <mergeCell ref="P40:P42"/>
    <mergeCell ref="Q40:Q42"/>
    <mergeCell ref="R40:R42"/>
    <mergeCell ref="G40:G42"/>
    <mergeCell ref="H40:H42"/>
    <mergeCell ref="I40:I42"/>
    <mergeCell ref="J40:J42"/>
    <mergeCell ref="K40:K42"/>
    <mergeCell ref="L40:L42"/>
    <mergeCell ref="A40:A42"/>
    <mergeCell ref="B40:B42"/>
    <mergeCell ref="C40:C42"/>
    <mergeCell ref="D40:D42"/>
    <mergeCell ref="E40:E42"/>
    <mergeCell ref="G27:G34"/>
    <mergeCell ref="A35:A38"/>
    <mergeCell ref="D35:D38"/>
    <mergeCell ref="E35:E38"/>
    <mergeCell ref="G35:G38"/>
    <mergeCell ref="A17:A20"/>
    <mergeCell ref="B18:B20"/>
    <mergeCell ref="A21:A22"/>
    <mergeCell ref="B21:B22"/>
    <mergeCell ref="F27:F34"/>
    <mergeCell ref="A27:A34"/>
    <mergeCell ref="D27:D34"/>
    <mergeCell ref="E27:E34"/>
    <mergeCell ref="Q11:Q12"/>
    <mergeCell ref="A15:A16"/>
    <mergeCell ref="B15:B16"/>
    <mergeCell ref="S15:S16"/>
    <mergeCell ref="Q9:Q10"/>
    <mergeCell ref="C11:C12"/>
    <mergeCell ref="D11:D12"/>
    <mergeCell ref="E11:E12"/>
    <mergeCell ref="F11:F12"/>
    <mergeCell ref="Q7:Q8"/>
    <mergeCell ref="C9:C10"/>
    <mergeCell ref="D9:D10"/>
    <mergeCell ref="E9:E10"/>
    <mergeCell ref="F9:F10"/>
    <mergeCell ref="Q5:Q6"/>
    <mergeCell ref="A7:A12"/>
    <mergeCell ref="C7:C8"/>
    <mergeCell ref="D7:D8"/>
    <mergeCell ref="E7:E8"/>
    <mergeCell ref="F7:F8"/>
    <mergeCell ref="Q3:Q4"/>
    <mergeCell ref="C5:C6"/>
    <mergeCell ref="D5:D6"/>
    <mergeCell ref="E5:E6"/>
    <mergeCell ref="F5:F6"/>
    <mergeCell ref="A3:A6"/>
    <mergeCell ref="C3:C4"/>
    <mergeCell ref="D3:D4"/>
    <mergeCell ref="E3:E4"/>
    <mergeCell ref="F3:F4"/>
  </mergeCells>
  <hyperlinks>
    <hyperlink ref="S19" r:id="rId1" location="KPI!A16" display="Model HZI 2021 2020.xlsx - KPI!A16" xr:uid="{37FB3F6B-7952-4C7F-A3AD-C79A19EAE51C}"/>
    <hyperlink ref="S20" r:id="rId2" location="KPI!A17" display="Model HZI 2021 2020.xlsx - KPI!A17" xr:uid="{FC933DD0-3EE8-4FD9-ABC7-832214EDE5C7}"/>
    <hyperlink ref="S22" r:id="rId3" location="KPI!A22" display="Model HZI 2021 2020.xlsx - KPI!A22" xr:uid="{BA1059CE-0D8C-4E77-9BBA-D0EA02DCE744}"/>
  </hyperlinks>
  <pageMargins left="0.7" right="0.7" top="0.75" bottom="0.75" header="0.3" footer="0.3"/>
  <pageSetup paperSize="9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510B-0276-4B19-99AC-3BB05F2DCD17}">
  <dimension ref="A1:R19"/>
  <sheetViews>
    <sheetView zoomScaleNormal="100" workbookViewId="0"/>
  </sheetViews>
  <sheetFormatPr defaultRowHeight="13.8"/>
  <cols>
    <col min="1" max="1" width="18.33203125" style="322" customWidth="1"/>
    <col min="2" max="2" width="37.33203125" style="322" customWidth="1"/>
    <col min="3" max="7" width="8.88671875" style="323"/>
    <col min="8" max="8" width="10.5546875" style="323" bestFit="1" customWidth="1"/>
    <col min="9" max="17" width="8.88671875" style="323"/>
    <col min="18" max="18" width="10.5546875" style="323" bestFit="1" customWidth="1"/>
    <col min="19" max="16384" width="8.88671875" style="322"/>
  </cols>
  <sheetData>
    <row r="1" spans="1:18" ht="36">
      <c r="A1" s="311" t="s">
        <v>312</v>
      </c>
      <c r="B1" s="312" t="s">
        <v>313</v>
      </c>
      <c r="C1" s="313" t="s">
        <v>314</v>
      </c>
      <c r="D1" s="313" t="s">
        <v>315</v>
      </c>
      <c r="E1" s="313" t="s">
        <v>316</v>
      </c>
      <c r="F1" s="314" t="s">
        <v>712</v>
      </c>
      <c r="G1" s="314">
        <v>2022</v>
      </c>
      <c r="H1" s="314">
        <v>2023</v>
      </c>
      <c r="I1" s="314">
        <v>2024</v>
      </c>
      <c r="J1" s="314">
        <v>2025</v>
      </c>
      <c r="K1" s="314">
        <v>2026</v>
      </c>
      <c r="L1" s="314">
        <v>2027</v>
      </c>
      <c r="M1" s="314">
        <v>2028</v>
      </c>
      <c r="N1" s="314">
        <v>2029</v>
      </c>
      <c r="O1" s="314">
        <v>2030</v>
      </c>
      <c r="P1" s="314">
        <v>2031</v>
      </c>
      <c r="Q1" s="314">
        <v>2032</v>
      </c>
      <c r="R1" s="314" t="s">
        <v>717</v>
      </c>
    </row>
    <row r="2" spans="1:18">
      <c r="A2" s="1162" t="s">
        <v>317</v>
      </c>
      <c r="B2" s="307" t="s">
        <v>318</v>
      </c>
      <c r="C2" s="1161">
        <v>0.6</v>
      </c>
      <c r="D2" s="1161">
        <v>7.87</v>
      </c>
      <c r="E2" s="1161" t="s">
        <v>67</v>
      </c>
      <c r="F2" s="1157" t="s">
        <v>708</v>
      </c>
      <c r="G2" s="1157">
        <f>C2</f>
        <v>0.6</v>
      </c>
      <c r="H2" s="1157">
        <f>G2+0.8</f>
        <v>1.4</v>
      </c>
      <c r="I2" s="1157">
        <f t="shared" ref="I2:P2" si="0">H2+0.8</f>
        <v>2.2000000000000002</v>
      </c>
      <c r="J2" s="1157">
        <f t="shared" si="0"/>
        <v>3</v>
      </c>
      <c r="K2" s="1157">
        <f t="shared" si="0"/>
        <v>3.8</v>
      </c>
      <c r="L2" s="1157">
        <f t="shared" si="0"/>
        <v>4.5999999999999996</v>
      </c>
      <c r="M2" s="1157">
        <f t="shared" si="0"/>
        <v>5.3999999999999995</v>
      </c>
      <c r="N2" s="1157">
        <f t="shared" si="0"/>
        <v>6.1999999999999993</v>
      </c>
      <c r="O2" s="1157">
        <f t="shared" si="0"/>
        <v>6.9999999999999991</v>
      </c>
      <c r="P2" s="1157">
        <f t="shared" si="0"/>
        <v>7.7999999999999989</v>
      </c>
      <c r="Q2" s="1157">
        <f>D2</f>
        <v>7.87</v>
      </c>
      <c r="R2" s="1157">
        <f>(Q2-G2)/9</f>
        <v>0.80777777777777782</v>
      </c>
    </row>
    <row r="3" spans="1:18" ht="22.8">
      <c r="A3" s="1162"/>
      <c r="B3" s="307" t="s">
        <v>319</v>
      </c>
      <c r="C3" s="1161"/>
      <c r="D3" s="1161"/>
      <c r="E3" s="1161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</row>
    <row r="4" spans="1:18">
      <c r="A4" s="1162"/>
      <c r="B4" s="307" t="s">
        <v>320</v>
      </c>
      <c r="C4" s="1161">
        <v>1.83</v>
      </c>
      <c r="D4" s="1161">
        <v>15.3</v>
      </c>
      <c r="E4" s="1161" t="s">
        <v>67</v>
      </c>
      <c r="F4" s="1157" t="s">
        <v>708</v>
      </c>
      <c r="G4" s="1157">
        <f t="shared" ref="G4" si="1">C4</f>
        <v>1.83</v>
      </c>
      <c r="H4" s="1157">
        <f>G4+1.49</f>
        <v>3.3200000000000003</v>
      </c>
      <c r="I4" s="1157">
        <f t="shared" ref="I4:P4" si="2">H4+1.49</f>
        <v>4.8100000000000005</v>
      </c>
      <c r="J4" s="1157">
        <f t="shared" si="2"/>
        <v>6.3000000000000007</v>
      </c>
      <c r="K4" s="1157">
        <f t="shared" si="2"/>
        <v>7.7900000000000009</v>
      </c>
      <c r="L4" s="1157">
        <f t="shared" si="2"/>
        <v>9.2800000000000011</v>
      </c>
      <c r="M4" s="1157">
        <f t="shared" si="2"/>
        <v>10.770000000000001</v>
      </c>
      <c r="N4" s="1157">
        <f t="shared" si="2"/>
        <v>12.260000000000002</v>
      </c>
      <c r="O4" s="1157">
        <f t="shared" si="2"/>
        <v>13.750000000000002</v>
      </c>
      <c r="P4" s="1157">
        <f t="shared" si="2"/>
        <v>15.240000000000002</v>
      </c>
      <c r="Q4" s="1157">
        <f>D4</f>
        <v>15.3</v>
      </c>
      <c r="R4" s="1157">
        <f>(Q4-G4)/9</f>
        <v>1.4966666666666668</v>
      </c>
    </row>
    <row r="5" spans="1:18" ht="22.8">
      <c r="A5" s="1162"/>
      <c r="B5" s="307" t="s">
        <v>321</v>
      </c>
      <c r="C5" s="1161"/>
      <c r="D5" s="1161"/>
      <c r="E5" s="1161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</row>
    <row r="6" spans="1:18" hidden="1">
      <c r="A6" s="1162"/>
      <c r="B6" s="307" t="s">
        <v>322</v>
      </c>
      <c r="C6" s="309">
        <v>0.36</v>
      </c>
      <c r="D6" s="1166">
        <v>0.5</v>
      </c>
      <c r="E6" s="1161" t="s">
        <v>324</v>
      </c>
      <c r="F6" s="1157"/>
      <c r="G6" s="1157"/>
      <c r="H6" s="1157"/>
      <c r="I6" s="1157"/>
      <c r="J6" s="1157"/>
      <c r="K6" s="1157"/>
      <c r="L6" s="1157"/>
      <c r="M6" s="1157"/>
      <c r="N6" s="1157"/>
      <c r="O6" s="1157"/>
      <c r="P6" s="1157"/>
      <c r="Q6" s="1157"/>
      <c r="R6" s="1157"/>
    </row>
    <row r="7" spans="1:18" ht="34.200000000000003" hidden="1">
      <c r="A7" s="1162"/>
      <c r="B7" s="307" t="s">
        <v>323</v>
      </c>
      <c r="C7" s="308">
        <v>-2020</v>
      </c>
      <c r="D7" s="1166"/>
      <c r="E7" s="1161"/>
      <c r="F7" s="1157"/>
      <c r="G7" s="1157"/>
      <c r="H7" s="1157"/>
      <c r="I7" s="1157"/>
      <c r="J7" s="1157"/>
      <c r="K7" s="1157"/>
      <c r="L7" s="1157"/>
      <c r="M7" s="1157"/>
      <c r="N7" s="1157"/>
      <c r="O7" s="1157"/>
      <c r="P7" s="1157"/>
      <c r="Q7" s="1157"/>
      <c r="R7" s="1157"/>
    </row>
    <row r="8" spans="1:18" hidden="1">
      <c r="A8" s="1162"/>
      <c r="B8" s="307" t="s">
        <v>325</v>
      </c>
      <c r="C8" s="310">
        <v>2.5000000000000001E-3</v>
      </c>
      <c r="D8" s="1164">
        <v>4.0000000000000001E-3</v>
      </c>
      <c r="E8" s="1161" t="s">
        <v>79</v>
      </c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</row>
    <row r="9" spans="1:18" ht="22.8" hidden="1">
      <c r="A9" s="1162"/>
      <c r="B9" s="307" t="s">
        <v>326</v>
      </c>
      <c r="C9" s="308">
        <v>-2020</v>
      </c>
      <c r="D9" s="1164"/>
      <c r="E9" s="1161"/>
      <c r="F9" s="1157"/>
      <c r="G9" s="1157"/>
      <c r="H9" s="1157"/>
      <c r="I9" s="1157"/>
      <c r="J9" s="1157"/>
      <c r="K9" s="1157"/>
      <c r="L9" s="1157"/>
      <c r="M9" s="1157"/>
      <c r="N9" s="1157"/>
      <c r="O9" s="1157"/>
      <c r="P9" s="1157"/>
      <c r="Q9" s="1157"/>
      <c r="R9" s="1157"/>
    </row>
    <row r="10" spans="1:18" hidden="1">
      <c r="A10" s="1162" t="s">
        <v>327</v>
      </c>
      <c r="B10" s="307" t="s">
        <v>328</v>
      </c>
      <c r="C10" s="1161" t="s">
        <v>330</v>
      </c>
      <c r="D10" s="1161">
        <v>8</v>
      </c>
      <c r="E10" s="1161" t="s">
        <v>79</v>
      </c>
      <c r="F10" s="1157"/>
      <c r="G10" s="1157"/>
      <c r="H10" s="1157"/>
      <c r="I10" s="1157"/>
      <c r="J10" s="1157"/>
      <c r="K10" s="1157"/>
      <c r="L10" s="1157"/>
      <c r="M10" s="1157"/>
      <c r="N10" s="1157"/>
      <c r="O10" s="1157"/>
      <c r="P10" s="1157"/>
      <c r="Q10" s="1157"/>
      <c r="R10" s="1157"/>
    </row>
    <row r="11" spans="1:18" ht="22.8" hidden="1">
      <c r="A11" s="1162"/>
      <c r="B11" s="307" t="s">
        <v>329</v>
      </c>
      <c r="C11" s="1161"/>
      <c r="D11" s="1161"/>
      <c r="E11" s="1161"/>
      <c r="F11" s="1157"/>
      <c r="G11" s="1157"/>
      <c r="H11" s="1157"/>
      <c r="I11" s="1157"/>
      <c r="J11" s="1157"/>
      <c r="K11" s="1157"/>
      <c r="L11" s="1157"/>
      <c r="M11" s="1157"/>
      <c r="N11" s="1157"/>
      <c r="O11" s="1157"/>
      <c r="P11" s="1157"/>
      <c r="Q11" s="1157"/>
      <c r="R11" s="1157"/>
    </row>
    <row r="12" spans="1:18" hidden="1">
      <c r="A12" s="1162"/>
      <c r="B12" s="307" t="s">
        <v>331</v>
      </c>
      <c r="C12" s="1161" t="s">
        <v>333</v>
      </c>
      <c r="D12" s="1161">
        <v>35</v>
      </c>
      <c r="E12" s="1161" t="s">
        <v>79</v>
      </c>
      <c r="F12" s="1157"/>
      <c r="G12" s="1157"/>
      <c r="H12" s="1157"/>
      <c r="I12" s="1157"/>
      <c r="J12" s="1157"/>
      <c r="K12" s="1157"/>
      <c r="L12" s="1157"/>
      <c r="M12" s="1157"/>
      <c r="N12" s="1157"/>
      <c r="O12" s="1157"/>
      <c r="P12" s="1157"/>
      <c r="Q12" s="1157"/>
      <c r="R12" s="1157"/>
    </row>
    <row r="13" spans="1:18" ht="22.8" hidden="1">
      <c r="A13" s="1162"/>
      <c r="B13" s="307" t="s">
        <v>332</v>
      </c>
      <c r="C13" s="1161"/>
      <c r="D13" s="1161"/>
      <c r="E13" s="1161"/>
      <c r="F13" s="1157"/>
      <c r="G13" s="1157"/>
      <c r="H13" s="1157"/>
      <c r="I13" s="1157"/>
      <c r="J13" s="1157"/>
      <c r="K13" s="1157"/>
      <c r="L13" s="1157"/>
      <c r="M13" s="1157"/>
      <c r="N13" s="1157"/>
      <c r="O13" s="1157"/>
      <c r="P13" s="1157"/>
      <c r="Q13" s="1157"/>
      <c r="R13" s="1157"/>
    </row>
    <row r="14" spans="1:18" ht="24.6" customHeight="1">
      <c r="A14" s="1162" t="s">
        <v>334</v>
      </c>
      <c r="B14" s="307" t="s">
        <v>335</v>
      </c>
      <c r="C14" s="1161" t="s">
        <v>337</v>
      </c>
      <c r="D14" s="1164">
        <v>2E-3</v>
      </c>
      <c r="E14" s="1161" t="s">
        <v>297</v>
      </c>
      <c r="F14" s="1167" t="s">
        <v>709</v>
      </c>
      <c r="G14" s="1158">
        <v>2.5999999999999999E-3</v>
      </c>
      <c r="H14" s="1160">
        <v>2.4499999999999999E-3</v>
      </c>
      <c r="I14" s="1160">
        <f t="shared" ref="I14:P14" si="3">H14-0.005%</f>
        <v>2.3999999999999998E-3</v>
      </c>
      <c r="J14" s="1160">
        <f t="shared" si="3"/>
        <v>2.3499999999999997E-3</v>
      </c>
      <c r="K14" s="1160">
        <f t="shared" si="3"/>
        <v>2.2999999999999995E-3</v>
      </c>
      <c r="L14" s="1160">
        <f t="shared" si="3"/>
        <v>2.2499999999999994E-3</v>
      </c>
      <c r="M14" s="1160">
        <f t="shared" si="3"/>
        <v>2.1999999999999993E-3</v>
      </c>
      <c r="N14" s="1160">
        <f t="shared" si="3"/>
        <v>2.1499999999999991E-3</v>
      </c>
      <c r="O14" s="1160">
        <f t="shared" si="3"/>
        <v>2.099999999999999E-3</v>
      </c>
      <c r="P14" s="1160">
        <f t="shared" si="3"/>
        <v>2.0499999999999989E-3</v>
      </c>
      <c r="Q14" s="1160">
        <f>P14-0.005%</f>
        <v>1.9999999999999987E-3</v>
      </c>
      <c r="R14" s="1157">
        <f t="shared" ref="R14" si="4">(Q14-G14)/9</f>
        <v>-6.6666666666666792E-5</v>
      </c>
    </row>
    <row r="15" spans="1:18" ht="24.6" customHeight="1">
      <c r="A15" s="1162"/>
      <c r="B15" s="307" t="s">
        <v>336</v>
      </c>
      <c r="C15" s="1161"/>
      <c r="D15" s="1164"/>
      <c r="E15" s="1161"/>
      <c r="F15" s="1167"/>
      <c r="G15" s="1157"/>
      <c r="H15" s="1160"/>
      <c r="I15" s="1160"/>
      <c r="J15" s="1160"/>
      <c r="K15" s="1160"/>
      <c r="L15" s="1160"/>
      <c r="M15" s="1160"/>
      <c r="N15" s="1160"/>
      <c r="O15" s="1160"/>
      <c r="P15" s="1160"/>
      <c r="Q15" s="1160"/>
      <c r="R15" s="1157"/>
    </row>
    <row r="16" spans="1:18">
      <c r="A16" s="1162"/>
      <c r="B16" s="307" t="s">
        <v>338</v>
      </c>
      <c r="C16" s="1161" t="s">
        <v>340</v>
      </c>
      <c r="D16" s="1161">
        <v>4.5999999999999996</v>
      </c>
      <c r="E16" s="1161" t="s">
        <v>341</v>
      </c>
      <c r="F16" s="1157" t="s">
        <v>710</v>
      </c>
      <c r="G16" s="1157">
        <v>5.75</v>
      </c>
      <c r="H16" s="1157">
        <f>G16-0.127</f>
        <v>5.6230000000000002</v>
      </c>
      <c r="I16" s="1157">
        <f t="shared" ref="I16:P16" si="5">H16-0.127</f>
        <v>5.4960000000000004</v>
      </c>
      <c r="J16" s="1157">
        <f t="shared" si="5"/>
        <v>5.3690000000000007</v>
      </c>
      <c r="K16" s="1157">
        <f t="shared" si="5"/>
        <v>5.2420000000000009</v>
      </c>
      <c r="L16" s="1157">
        <f t="shared" si="5"/>
        <v>5.1150000000000011</v>
      </c>
      <c r="M16" s="1157">
        <f t="shared" si="5"/>
        <v>4.9880000000000013</v>
      </c>
      <c r="N16" s="1157">
        <f t="shared" si="5"/>
        <v>4.8610000000000015</v>
      </c>
      <c r="O16" s="1157">
        <f t="shared" si="5"/>
        <v>4.7340000000000018</v>
      </c>
      <c r="P16" s="1157">
        <f t="shared" si="5"/>
        <v>4.607000000000002</v>
      </c>
      <c r="Q16" s="1157">
        <f t="shared" ref="Q16" si="6">D16</f>
        <v>4.5999999999999996</v>
      </c>
      <c r="R16" s="1157">
        <f t="shared" ref="R16" si="7">(Q16-G16)/9</f>
        <v>-0.12777777777777782</v>
      </c>
    </row>
    <row r="17" spans="1:18" ht="42.6" customHeight="1">
      <c r="A17" s="1162"/>
      <c r="B17" s="307" t="s">
        <v>339</v>
      </c>
      <c r="C17" s="1161"/>
      <c r="D17" s="1161"/>
      <c r="E17" s="1161"/>
      <c r="F17" s="1157"/>
      <c r="G17" s="1157"/>
      <c r="H17" s="1157"/>
      <c r="I17" s="1157"/>
      <c r="J17" s="1157"/>
      <c r="K17" s="1157"/>
      <c r="L17" s="1157"/>
      <c r="M17" s="1157"/>
      <c r="N17" s="1157"/>
      <c r="O17" s="1157"/>
      <c r="P17" s="1157"/>
      <c r="Q17" s="1157"/>
      <c r="R17" s="1157"/>
    </row>
    <row r="18" spans="1:18">
      <c r="A18" s="1162"/>
      <c r="B18" s="307" t="s">
        <v>342</v>
      </c>
      <c r="C18" s="1161" t="s">
        <v>344</v>
      </c>
      <c r="D18" s="1161">
        <v>90</v>
      </c>
      <c r="E18" s="1161" t="s">
        <v>67</v>
      </c>
      <c r="F18" s="1157" t="s">
        <v>711</v>
      </c>
      <c r="G18" s="1157">
        <v>140</v>
      </c>
      <c r="H18" s="1157">
        <f>G18-5.55</f>
        <v>134.44999999999999</v>
      </c>
      <c r="I18" s="1157">
        <f t="shared" ref="I18:P18" si="8">H18-5.55</f>
        <v>128.89999999999998</v>
      </c>
      <c r="J18" s="1157">
        <f t="shared" si="8"/>
        <v>123.34999999999998</v>
      </c>
      <c r="K18" s="1157">
        <f t="shared" si="8"/>
        <v>117.79999999999998</v>
      </c>
      <c r="L18" s="1157">
        <f t="shared" si="8"/>
        <v>112.24999999999999</v>
      </c>
      <c r="M18" s="1157">
        <f t="shared" si="8"/>
        <v>106.69999999999999</v>
      </c>
      <c r="N18" s="1157">
        <f t="shared" si="8"/>
        <v>101.14999999999999</v>
      </c>
      <c r="O18" s="1157">
        <f t="shared" si="8"/>
        <v>95.6</v>
      </c>
      <c r="P18" s="1157">
        <f t="shared" si="8"/>
        <v>90.05</v>
      </c>
      <c r="Q18" s="1157">
        <f t="shared" ref="Q18" si="9">D18</f>
        <v>90</v>
      </c>
      <c r="R18" s="1157">
        <f t="shared" ref="R18" si="10">(Q18-G18)/9</f>
        <v>-5.5555555555555554</v>
      </c>
    </row>
    <row r="19" spans="1:18" ht="46.8" customHeight="1" thickBot="1">
      <c r="A19" s="1163"/>
      <c r="B19" s="316" t="s">
        <v>343</v>
      </c>
      <c r="C19" s="1165"/>
      <c r="D19" s="1165"/>
      <c r="E19" s="1165"/>
      <c r="F19" s="1159"/>
      <c r="G19" s="1157"/>
      <c r="H19" s="1159"/>
      <c r="I19" s="1159"/>
      <c r="J19" s="1159"/>
      <c r="K19" s="1159"/>
      <c r="L19" s="1159"/>
      <c r="M19" s="1159"/>
      <c r="N19" s="1159"/>
      <c r="O19" s="1159"/>
      <c r="P19" s="1159"/>
      <c r="Q19" s="1157"/>
      <c r="R19" s="1157"/>
    </row>
  </sheetData>
  <mergeCells count="145">
    <mergeCell ref="F12:F13"/>
    <mergeCell ref="F14:F15"/>
    <mergeCell ref="F16:F17"/>
    <mergeCell ref="F18:F19"/>
    <mergeCell ref="F2:F3"/>
    <mergeCell ref="F4:F5"/>
    <mergeCell ref="F6:F7"/>
    <mergeCell ref="F8:F9"/>
    <mergeCell ref="F10:F11"/>
    <mergeCell ref="A2:A9"/>
    <mergeCell ref="C2:C3"/>
    <mergeCell ref="D2:D3"/>
    <mergeCell ref="E2:E3"/>
    <mergeCell ref="C4:C5"/>
    <mergeCell ref="D4:D5"/>
    <mergeCell ref="E4:E5"/>
    <mergeCell ref="D6:D7"/>
    <mergeCell ref="E6:E7"/>
    <mergeCell ref="D8:D9"/>
    <mergeCell ref="E8:E9"/>
    <mergeCell ref="C12:C13"/>
    <mergeCell ref="D12:D13"/>
    <mergeCell ref="A14:A19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E12:E13"/>
    <mergeCell ref="A10:A13"/>
    <mergeCell ref="C10:C11"/>
    <mergeCell ref="D10:D11"/>
    <mergeCell ref="E10:E11"/>
    <mergeCell ref="M2:M3"/>
    <mergeCell ref="N2:N3"/>
    <mergeCell ref="O2:O3"/>
    <mergeCell ref="P2:P3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H2:H3"/>
    <mergeCell ref="I2:I3"/>
    <mergeCell ref="J2:J3"/>
    <mergeCell ref="K2:K3"/>
    <mergeCell ref="L2:L3"/>
    <mergeCell ref="M6:M7"/>
    <mergeCell ref="N6:N7"/>
    <mergeCell ref="O6:O7"/>
    <mergeCell ref="P6:P7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H6:H7"/>
    <mergeCell ref="I6:I7"/>
    <mergeCell ref="J6:J7"/>
    <mergeCell ref="K6:K7"/>
    <mergeCell ref="L6:L7"/>
    <mergeCell ref="P16:P17"/>
    <mergeCell ref="H14:H15"/>
    <mergeCell ref="I14:I15"/>
    <mergeCell ref="J14:J15"/>
    <mergeCell ref="K14:K15"/>
    <mergeCell ref="L14:L15"/>
    <mergeCell ref="M10:M11"/>
    <mergeCell ref="N10:N11"/>
    <mergeCell ref="O10:O11"/>
    <mergeCell ref="P10:P11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H10:H11"/>
    <mergeCell ref="I10:I11"/>
    <mergeCell ref="J10:J11"/>
    <mergeCell ref="K10:K11"/>
    <mergeCell ref="L10:L11"/>
    <mergeCell ref="Q6:Q7"/>
    <mergeCell ref="Q8:Q9"/>
    <mergeCell ref="Q10:Q11"/>
    <mergeCell ref="Q12:Q13"/>
    <mergeCell ref="Q14:Q15"/>
    <mergeCell ref="Q16:Q17"/>
    <mergeCell ref="Q18:Q19"/>
    <mergeCell ref="H18:H19"/>
    <mergeCell ref="I18:I19"/>
    <mergeCell ref="J18:J19"/>
    <mergeCell ref="K18:K19"/>
    <mergeCell ref="L18:L19"/>
    <mergeCell ref="M14:M15"/>
    <mergeCell ref="N14:N15"/>
    <mergeCell ref="O14:O15"/>
    <mergeCell ref="P14:P15"/>
    <mergeCell ref="H16:H17"/>
    <mergeCell ref="I16:I17"/>
    <mergeCell ref="J16:J17"/>
    <mergeCell ref="K16:K17"/>
    <mergeCell ref="L16:L17"/>
    <mergeCell ref="M16:M17"/>
    <mergeCell ref="N16:N17"/>
    <mergeCell ref="O16:O17"/>
    <mergeCell ref="G12:G13"/>
    <mergeCell ref="G14:G15"/>
    <mergeCell ref="G16:G17"/>
    <mergeCell ref="G18:G19"/>
    <mergeCell ref="R2:R3"/>
    <mergeCell ref="R4:R5"/>
    <mergeCell ref="R6:R7"/>
    <mergeCell ref="R8:R9"/>
    <mergeCell ref="R10:R11"/>
    <mergeCell ref="R12:R13"/>
    <mergeCell ref="R14:R15"/>
    <mergeCell ref="R16:R17"/>
    <mergeCell ref="R18:R19"/>
    <mergeCell ref="G2:G3"/>
    <mergeCell ref="G4:G5"/>
    <mergeCell ref="G6:G7"/>
    <mergeCell ref="G8:G9"/>
    <mergeCell ref="G10:G11"/>
    <mergeCell ref="M18:M19"/>
    <mergeCell ref="N18:N19"/>
    <mergeCell ref="O18:O19"/>
    <mergeCell ref="P18:P19"/>
    <mergeCell ref="Q2:Q3"/>
    <mergeCell ref="Q4:Q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6C524-DF37-4010-9CCB-63FF68F3896E}">
  <dimension ref="A1:Q22"/>
  <sheetViews>
    <sheetView workbookViewId="0">
      <selection activeCell="C4" sqref="A4:XFD4"/>
    </sheetView>
  </sheetViews>
  <sheetFormatPr defaultColWidth="8.88671875" defaultRowHeight="11.4" outlineLevelCol="1"/>
  <cols>
    <col min="1" max="1" width="8.88671875" style="325"/>
    <col min="2" max="2" width="16.44140625" style="325" customWidth="1"/>
    <col min="3" max="3" width="20" style="325" customWidth="1"/>
    <col min="4" max="6" width="8.88671875" style="325"/>
    <col min="7" max="7" width="12.33203125" style="325" customWidth="1"/>
    <col min="8" max="16" width="8.88671875" style="325" customWidth="1" outlineLevel="1"/>
    <col min="17" max="17" width="10.109375" style="325" customWidth="1" outlineLevel="1"/>
    <col min="18" max="16384" width="8.88671875" style="325"/>
  </cols>
  <sheetData>
    <row r="1" spans="1:17" ht="24">
      <c r="A1" s="1138" t="s">
        <v>57</v>
      </c>
      <c r="B1" s="1168" t="s">
        <v>58</v>
      </c>
      <c r="C1" s="1168" t="s">
        <v>59</v>
      </c>
      <c r="D1" s="313" t="s">
        <v>60</v>
      </c>
      <c r="E1" s="1177" t="s">
        <v>62</v>
      </c>
      <c r="F1" s="1168" t="s">
        <v>63</v>
      </c>
      <c r="G1" s="1177" t="s">
        <v>712</v>
      </c>
      <c r="H1" s="1138">
        <v>2022</v>
      </c>
      <c r="I1" s="1168">
        <v>2023</v>
      </c>
      <c r="J1" s="1168">
        <v>2024</v>
      </c>
      <c r="K1" s="1168">
        <v>2025</v>
      </c>
      <c r="L1" s="1168">
        <v>2026</v>
      </c>
      <c r="M1" s="1168">
        <v>2027</v>
      </c>
      <c r="N1" s="1168">
        <v>2028</v>
      </c>
      <c r="O1" s="1168">
        <v>2029</v>
      </c>
      <c r="P1" s="1168">
        <v>2030</v>
      </c>
      <c r="Q1" s="1170" t="s">
        <v>717</v>
      </c>
    </row>
    <row r="2" spans="1:17" ht="12">
      <c r="A2" s="1139"/>
      <c r="B2" s="1169"/>
      <c r="C2" s="1169"/>
      <c r="D2" s="324" t="s">
        <v>61</v>
      </c>
      <c r="E2" s="1178"/>
      <c r="F2" s="1169"/>
      <c r="G2" s="1178"/>
      <c r="H2" s="1139"/>
      <c r="I2" s="1169"/>
      <c r="J2" s="1169"/>
      <c r="K2" s="1169"/>
      <c r="L2" s="1169"/>
      <c r="M2" s="1169"/>
      <c r="N2" s="1169"/>
      <c r="O2" s="1169"/>
      <c r="P2" s="1169"/>
      <c r="Q2" s="1171"/>
    </row>
    <row r="3" spans="1:17" ht="34.200000000000003">
      <c r="A3" s="1139" t="s">
        <v>64</v>
      </c>
      <c r="B3" s="1173" t="s">
        <v>65</v>
      </c>
      <c r="C3" s="326" t="s">
        <v>66</v>
      </c>
      <c r="D3" s="328">
        <v>4422</v>
      </c>
      <c r="E3" s="329">
        <v>5500</v>
      </c>
      <c r="F3" s="308" t="s">
        <v>67</v>
      </c>
      <c r="G3" s="331" t="s">
        <v>714</v>
      </c>
      <c r="H3" s="338">
        <f>D3</f>
        <v>4422</v>
      </c>
      <c r="I3" s="328">
        <f>H3+134.75</f>
        <v>4556.75</v>
      </c>
      <c r="J3" s="328">
        <f t="shared" ref="J3:O3" si="0">I3+134.75</f>
        <v>4691.5</v>
      </c>
      <c r="K3" s="328">
        <f t="shared" si="0"/>
        <v>4826.25</v>
      </c>
      <c r="L3" s="328">
        <f t="shared" si="0"/>
        <v>4961</v>
      </c>
      <c r="M3" s="328">
        <f t="shared" si="0"/>
        <v>5095.75</v>
      </c>
      <c r="N3" s="328">
        <f t="shared" si="0"/>
        <v>5230.5</v>
      </c>
      <c r="O3" s="328">
        <f t="shared" si="0"/>
        <v>5365.25</v>
      </c>
      <c r="P3" s="328">
        <f>E3</f>
        <v>5500</v>
      </c>
      <c r="Q3" s="315">
        <f>(P3-H3)/8</f>
        <v>134.75</v>
      </c>
    </row>
    <row r="4" spans="1:17" ht="57" hidden="1">
      <c r="A4" s="1139"/>
      <c r="B4" s="1173"/>
      <c r="C4" s="307" t="s">
        <v>98</v>
      </c>
      <c r="D4" s="310">
        <v>0.23400000000000001</v>
      </c>
      <c r="E4" s="327">
        <v>0.35</v>
      </c>
      <c r="F4" s="308" t="s">
        <v>68</v>
      </c>
      <c r="G4" s="336" t="s">
        <v>716</v>
      </c>
      <c r="H4" s="340"/>
      <c r="I4" s="341"/>
      <c r="J4" s="341"/>
      <c r="K4" s="341"/>
      <c r="L4" s="341"/>
      <c r="M4" s="341"/>
      <c r="N4" s="341"/>
      <c r="O4" s="341"/>
      <c r="P4" s="341"/>
      <c r="Q4" s="315"/>
    </row>
    <row r="5" spans="1:17" ht="45.6">
      <c r="A5" s="1139"/>
      <c r="B5" s="1173" t="s">
        <v>69</v>
      </c>
      <c r="C5" s="307" t="s">
        <v>70</v>
      </c>
      <c r="D5" s="328">
        <v>22029</v>
      </c>
      <c r="E5" s="329">
        <v>25796</v>
      </c>
      <c r="F5" s="308" t="s">
        <v>67</v>
      </c>
      <c r="G5" s="331" t="s">
        <v>708</v>
      </c>
      <c r="H5" s="338">
        <f t="shared" ref="H5:H7" si="1">D5</f>
        <v>22029</v>
      </c>
      <c r="I5" s="328">
        <f>H5+470.875</f>
        <v>22499.875</v>
      </c>
      <c r="J5" s="328">
        <f t="shared" ref="J5:O5" si="2">I5+470.875</f>
        <v>22970.75</v>
      </c>
      <c r="K5" s="328">
        <f t="shared" si="2"/>
        <v>23441.625</v>
      </c>
      <c r="L5" s="328">
        <f t="shared" si="2"/>
        <v>23912.5</v>
      </c>
      <c r="M5" s="328">
        <f t="shared" si="2"/>
        <v>24383.375</v>
      </c>
      <c r="N5" s="328">
        <f t="shared" si="2"/>
        <v>24854.25</v>
      </c>
      <c r="O5" s="328">
        <f t="shared" si="2"/>
        <v>25325.125</v>
      </c>
      <c r="P5" s="328">
        <f t="shared" ref="P5:P7" si="3">E5</f>
        <v>25796</v>
      </c>
      <c r="Q5" s="315">
        <f t="shared" ref="Q5:Q7" si="4">(P5-H5)/8</f>
        <v>470.875</v>
      </c>
    </row>
    <row r="6" spans="1:17" ht="45.6">
      <c r="A6" s="1139"/>
      <c r="B6" s="1173"/>
      <c r="C6" s="330" t="s">
        <v>71</v>
      </c>
      <c r="D6" s="308">
        <v>23.55</v>
      </c>
      <c r="E6" s="331">
        <v>222.44</v>
      </c>
      <c r="F6" s="308" t="s">
        <v>67</v>
      </c>
      <c r="G6" s="331" t="s">
        <v>708</v>
      </c>
      <c r="H6" s="344">
        <f t="shared" si="1"/>
        <v>23.55</v>
      </c>
      <c r="I6" s="345">
        <f>H6+24.86</f>
        <v>48.41</v>
      </c>
      <c r="J6" s="345">
        <f t="shared" ref="J6:O6" si="5">I6+24.86</f>
        <v>73.27</v>
      </c>
      <c r="K6" s="345">
        <f t="shared" si="5"/>
        <v>98.13</v>
      </c>
      <c r="L6" s="345">
        <f t="shared" si="5"/>
        <v>122.99</v>
      </c>
      <c r="M6" s="345">
        <f t="shared" si="5"/>
        <v>147.85</v>
      </c>
      <c r="N6" s="345">
        <f t="shared" si="5"/>
        <v>172.70999999999998</v>
      </c>
      <c r="O6" s="345">
        <f t="shared" si="5"/>
        <v>197.57</v>
      </c>
      <c r="P6" s="345">
        <f t="shared" si="3"/>
        <v>222.44</v>
      </c>
      <c r="Q6" s="315">
        <f t="shared" si="4"/>
        <v>24.861249999999998</v>
      </c>
    </row>
    <row r="7" spans="1:17" ht="45.6">
      <c r="A7" s="1139"/>
      <c r="B7" s="1173"/>
      <c r="C7" s="330" t="s">
        <v>72</v>
      </c>
      <c r="D7" s="308">
        <v>49.72</v>
      </c>
      <c r="E7" s="331">
        <v>439.66</v>
      </c>
      <c r="F7" s="308" t="s">
        <v>67</v>
      </c>
      <c r="G7" s="331" t="s">
        <v>708</v>
      </c>
      <c r="H7" s="344">
        <f t="shared" si="1"/>
        <v>49.72</v>
      </c>
      <c r="I7" s="345">
        <f>H7+48.74</f>
        <v>98.460000000000008</v>
      </c>
      <c r="J7" s="345">
        <f t="shared" ref="J7:O7" si="6">I7+48.74</f>
        <v>147.20000000000002</v>
      </c>
      <c r="K7" s="345">
        <f t="shared" si="6"/>
        <v>195.94000000000003</v>
      </c>
      <c r="L7" s="345">
        <f t="shared" si="6"/>
        <v>244.68000000000004</v>
      </c>
      <c r="M7" s="345">
        <f t="shared" si="6"/>
        <v>293.42</v>
      </c>
      <c r="N7" s="345">
        <f t="shared" si="6"/>
        <v>342.16</v>
      </c>
      <c r="O7" s="345">
        <f t="shared" si="6"/>
        <v>390.90000000000003</v>
      </c>
      <c r="P7" s="345">
        <f t="shared" si="3"/>
        <v>439.66</v>
      </c>
      <c r="Q7" s="315">
        <f t="shared" si="4"/>
        <v>48.742500000000007</v>
      </c>
    </row>
    <row r="8" spans="1:17" ht="91.2" hidden="1">
      <c r="A8" s="1139"/>
      <c r="B8" s="326" t="s">
        <v>73</v>
      </c>
      <c r="C8" s="326" t="s">
        <v>713</v>
      </c>
      <c r="D8" s="308" t="s">
        <v>74</v>
      </c>
      <c r="E8" s="331">
        <v>0.4</v>
      </c>
      <c r="F8" s="308" t="s">
        <v>75</v>
      </c>
      <c r="G8" s="337" t="s">
        <v>715</v>
      </c>
      <c r="H8" s="339"/>
      <c r="I8" s="308"/>
      <c r="J8" s="308"/>
      <c r="K8" s="308"/>
      <c r="L8" s="308"/>
      <c r="M8" s="308"/>
      <c r="N8" s="308"/>
      <c r="O8" s="308"/>
      <c r="P8" s="308"/>
      <c r="Q8" s="315"/>
    </row>
    <row r="9" spans="1:17" ht="34.200000000000003" hidden="1">
      <c r="A9" s="1139" t="s">
        <v>76</v>
      </c>
      <c r="B9" s="1173" t="s">
        <v>77</v>
      </c>
      <c r="C9" s="330" t="s">
        <v>78</v>
      </c>
      <c r="D9" s="308">
        <v>20</v>
      </c>
      <c r="E9" s="331">
        <v>100</v>
      </c>
      <c r="F9" s="308" t="s">
        <v>79</v>
      </c>
      <c r="G9" s="331"/>
      <c r="H9" s="339"/>
      <c r="I9" s="308"/>
      <c r="J9" s="308"/>
      <c r="K9" s="308"/>
      <c r="L9" s="308"/>
      <c r="M9" s="308"/>
      <c r="N9" s="308"/>
      <c r="O9" s="308"/>
      <c r="P9" s="308"/>
      <c r="Q9" s="315"/>
    </row>
    <row r="10" spans="1:17" ht="45.6" hidden="1">
      <c r="A10" s="1139"/>
      <c r="B10" s="1173"/>
      <c r="C10" s="330" t="s">
        <v>80</v>
      </c>
      <c r="D10" s="308">
        <v>20</v>
      </c>
      <c r="E10" s="331">
        <v>100</v>
      </c>
      <c r="F10" s="308" t="s">
        <v>79</v>
      </c>
      <c r="G10" s="331"/>
      <c r="H10" s="339"/>
      <c r="I10" s="308"/>
      <c r="J10" s="308"/>
      <c r="K10" s="308"/>
      <c r="L10" s="308"/>
      <c r="M10" s="308"/>
      <c r="N10" s="308"/>
      <c r="O10" s="308"/>
      <c r="P10" s="308"/>
      <c r="Q10" s="315"/>
    </row>
    <row r="11" spans="1:17" ht="34.200000000000003" hidden="1">
      <c r="A11" s="1139" t="s">
        <v>81</v>
      </c>
      <c r="B11" s="1173" t="s">
        <v>82</v>
      </c>
      <c r="C11" s="326" t="s">
        <v>83</v>
      </c>
      <c r="D11" s="332" t="s">
        <v>84</v>
      </c>
      <c r="E11" s="331">
        <v>20</v>
      </c>
      <c r="F11" s="308" t="s">
        <v>85</v>
      </c>
      <c r="G11" s="331"/>
      <c r="H11" s="339"/>
      <c r="I11" s="308"/>
      <c r="J11" s="308"/>
      <c r="K11" s="308"/>
      <c r="L11" s="308"/>
      <c r="M11" s="308"/>
      <c r="N11" s="308"/>
      <c r="O11" s="308"/>
      <c r="P11" s="308"/>
      <c r="Q11" s="315"/>
    </row>
    <row r="12" spans="1:17" ht="34.200000000000003" hidden="1">
      <c r="A12" s="1139"/>
      <c r="B12" s="1173"/>
      <c r="C12" s="326" t="s">
        <v>86</v>
      </c>
      <c r="D12" s="332" t="s">
        <v>87</v>
      </c>
      <c r="E12" s="331">
        <v>9</v>
      </c>
      <c r="F12" s="308" t="s">
        <v>85</v>
      </c>
      <c r="G12" s="331"/>
      <c r="H12" s="339"/>
      <c r="I12" s="308"/>
      <c r="J12" s="308"/>
      <c r="K12" s="308"/>
      <c r="L12" s="308"/>
      <c r="M12" s="308"/>
      <c r="N12" s="308"/>
      <c r="O12" s="308"/>
      <c r="P12" s="308"/>
      <c r="Q12" s="315"/>
    </row>
    <row r="13" spans="1:17" ht="34.200000000000003" hidden="1">
      <c r="A13" s="1139"/>
      <c r="B13" s="1173"/>
      <c r="C13" s="326" t="s">
        <v>88</v>
      </c>
      <c r="D13" s="308">
        <v>6</v>
      </c>
      <c r="E13" s="331">
        <v>5</v>
      </c>
      <c r="F13" s="308" t="s">
        <v>85</v>
      </c>
      <c r="G13" s="331"/>
      <c r="H13" s="339"/>
      <c r="I13" s="308"/>
      <c r="J13" s="308"/>
      <c r="K13" s="308"/>
      <c r="L13" s="308"/>
      <c r="M13" s="308"/>
      <c r="N13" s="308"/>
      <c r="O13" s="308"/>
      <c r="P13" s="308"/>
      <c r="Q13" s="315"/>
    </row>
    <row r="14" spans="1:17" ht="45.6">
      <c r="A14" s="1139"/>
      <c r="B14" s="1173"/>
      <c r="C14" s="326" t="s">
        <v>89</v>
      </c>
      <c r="D14" s="308">
        <v>0</v>
      </c>
      <c r="E14" s="331">
        <v>100</v>
      </c>
      <c r="F14" s="308" t="s">
        <v>67</v>
      </c>
      <c r="G14" s="331" t="s">
        <v>708</v>
      </c>
      <c r="H14" s="342">
        <f t="shared" ref="H14:H15" si="7">D14</f>
        <v>0</v>
      </c>
      <c r="I14" s="343">
        <f>H14+12.5</f>
        <v>12.5</v>
      </c>
      <c r="J14" s="343">
        <f t="shared" ref="J14:O14" si="8">I14+12.5</f>
        <v>25</v>
      </c>
      <c r="K14" s="343">
        <f t="shared" si="8"/>
        <v>37.5</v>
      </c>
      <c r="L14" s="343">
        <f t="shared" si="8"/>
        <v>50</v>
      </c>
      <c r="M14" s="343">
        <f t="shared" si="8"/>
        <v>62.5</v>
      </c>
      <c r="N14" s="343">
        <f t="shared" si="8"/>
        <v>75</v>
      </c>
      <c r="O14" s="343">
        <f t="shared" si="8"/>
        <v>87.5</v>
      </c>
      <c r="P14" s="343">
        <f t="shared" ref="P14:P15" si="9">E14</f>
        <v>100</v>
      </c>
      <c r="Q14" s="315">
        <f>(P14-H14)/8</f>
        <v>12.5</v>
      </c>
    </row>
    <row r="15" spans="1:17" ht="57.6" thickBot="1">
      <c r="A15" s="1172"/>
      <c r="B15" s="1174"/>
      <c r="C15" s="333" t="s">
        <v>90</v>
      </c>
      <c r="D15" s="317">
        <v>39.5</v>
      </c>
      <c r="E15" s="334">
        <v>55</v>
      </c>
      <c r="F15" s="317" t="s">
        <v>67</v>
      </c>
      <c r="G15" s="334" t="s">
        <v>708</v>
      </c>
      <c r="H15" s="346">
        <f t="shared" si="7"/>
        <v>39.5</v>
      </c>
      <c r="I15" s="347">
        <f>H15+1.93</f>
        <v>41.43</v>
      </c>
      <c r="J15" s="347">
        <f t="shared" ref="J15:O15" si="10">I15+1.93</f>
        <v>43.36</v>
      </c>
      <c r="K15" s="347">
        <f t="shared" si="10"/>
        <v>45.29</v>
      </c>
      <c r="L15" s="347">
        <f t="shared" si="10"/>
        <v>47.22</v>
      </c>
      <c r="M15" s="347">
        <f t="shared" si="10"/>
        <v>49.15</v>
      </c>
      <c r="N15" s="347">
        <f t="shared" si="10"/>
        <v>51.08</v>
      </c>
      <c r="O15" s="347">
        <f t="shared" si="10"/>
        <v>53.01</v>
      </c>
      <c r="P15" s="347">
        <f t="shared" si="9"/>
        <v>55</v>
      </c>
      <c r="Q15" s="318">
        <f>(P15-H15)/8</f>
        <v>1.9375</v>
      </c>
    </row>
    <row r="16" spans="1:17" ht="14.4">
      <c r="A16" s="1179" t="s">
        <v>91</v>
      </c>
      <c r="B16" s="1180"/>
      <c r="C16" s="1180"/>
      <c r="D16" s="1180"/>
      <c r="E16" s="1180"/>
      <c r="F16" s="1180"/>
      <c r="G16" s="1180"/>
    </row>
    <row r="17" spans="1:7" ht="14.4">
      <c r="A17" s="1175" t="s">
        <v>92</v>
      </c>
      <c r="B17" s="1176"/>
      <c r="C17" s="1176"/>
      <c r="D17" s="1176"/>
      <c r="E17" s="1176"/>
      <c r="F17" s="1176"/>
      <c r="G17" s="1176"/>
    </row>
    <row r="18" spans="1:7" ht="14.4">
      <c r="A18" s="1175" t="s">
        <v>93</v>
      </c>
      <c r="B18" s="1176"/>
      <c r="C18" s="1176"/>
      <c r="D18" s="1176"/>
      <c r="E18" s="1176"/>
      <c r="F18" s="1176"/>
      <c r="G18" s="1176"/>
    </row>
    <row r="19" spans="1:7" ht="14.4">
      <c r="A19" s="1175" t="s">
        <v>94</v>
      </c>
      <c r="B19" s="1176"/>
      <c r="C19" s="1176"/>
      <c r="D19" s="1176"/>
      <c r="E19" s="1176"/>
      <c r="F19" s="1176"/>
      <c r="G19" s="1176"/>
    </row>
    <row r="20" spans="1:7" ht="14.4">
      <c r="A20" s="1175" t="s">
        <v>95</v>
      </c>
      <c r="B20" s="1176"/>
      <c r="C20" s="1176"/>
      <c r="D20" s="1176"/>
      <c r="E20" s="1176"/>
      <c r="F20" s="1176"/>
      <c r="G20" s="1176"/>
    </row>
    <row r="21" spans="1:7" ht="14.4">
      <c r="A21" s="1175" t="s">
        <v>96</v>
      </c>
      <c r="B21" s="1176"/>
      <c r="C21" s="1176"/>
      <c r="D21" s="1176"/>
      <c r="E21" s="1176"/>
      <c r="F21" s="1176"/>
      <c r="G21" s="1176"/>
    </row>
    <row r="22" spans="1:7" ht="25.2" customHeight="1">
      <c r="A22" s="1175" t="s">
        <v>97</v>
      </c>
      <c r="B22" s="1176"/>
      <c r="C22" s="1176"/>
      <c r="D22" s="1176"/>
      <c r="E22" s="1176"/>
      <c r="F22" s="1176"/>
      <c r="G22" s="1176"/>
    </row>
  </sheetData>
  <mergeCells count="30">
    <mergeCell ref="A20:G20"/>
    <mergeCell ref="A21:G21"/>
    <mergeCell ref="A22:G22"/>
    <mergeCell ref="G1:G2"/>
    <mergeCell ref="A16:G16"/>
    <mergeCell ref="A17:G17"/>
    <mergeCell ref="A18:G18"/>
    <mergeCell ref="A19:G19"/>
    <mergeCell ref="C1:C2"/>
    <mergeCell ref="E1:E2"/>
    <mergeCell ref="F1:F2"/>
    <mergeCell ref="A3:A8"/>
    <mergeCell ref="B3:B4"/>
    <mergeCell ref="B5:B7"/>
    <mergeCell ref="A9:A10"/>
    <mergeCell ref="B9:B10"/>
    <mergeCell ref="A11:A15"/>
    <mergeCell ref="B11:B15"/>
    <mergeCell ref="A1:A2"/>
    <mergeCell ref="B1:B2"/>
    <mergeCell ref="H1:H2"/>
    <mergeCell ref="N1:N2"/>
    <mergeCell ref="O1:O2"/>
    <mergeCell ref="P1:P2"/>
    <mergeCell ref="Q1:Q2"/>
    <mergeCell ref="I1:I2"/>
    <mergeCell ref="J1:J2"/>
    <mergeCell ref="K1:K2"/>
    <mergeCell ref="L1:L2"/>
    <mergeCell ref="M1:M2"/>
  </mergeCells>
  <hyperlinks>
    <hyperlink ref="C6" location="_ftn1" display="_ftn1" xr:uid="{3A748CFC-270D-47D8-B517-4952C667467C}"/>
    <hyperlink ref="C7" location="_ftn2" display="_ftn2" xr:uid="{9D4EBAD9-0AAA-40A5-8D18-61EA8F9E335A}"/>
    <hyperlink ref="C9" location="_ftn3" display="_ftn3" xr:uid="{0394F76E-B9B3-4275-AFB1-0FDD1C95ABB7}"/>
    <hyperlink ref="C10" location="_ftn4" display="_ftn4" xr:uid="{0448158D-388B-418C-86B8-977F7C29A1D1}"/>
    <hyperlink ref="D11" location="_ftn5" display="_ftn5" xr:uid="{AF3DB52D-AF8A-43EB-B077-45FB50B5BA99}"/>
    <hyperlink ref="D12" location="_ftn6" display="_ftn6" xr:uid="{BFF035E1-9D10-476B-A232-5FA9B75A8961}"/>
    <hyperlink ref="C15" location="_ftn7" display="_ftn7" xr:uid="{C7C27B33-31DB-4907-B7FF-9B0B855B5C9B}"/>
    <hyperlink ref="A16" location="_ftnref1" display="_ftnref1" xr:uid="{7E6C2228-9FDE-42B4-95D1-C70399D84263}"/>
    <hyperlink ref="A17" location="_ftnref2" display="_ftnref2" xr:uid="{1961F430-5860-4872-B900-22E1DD354AA1}"/>
    <hyperlink ref="A18" location="_ftnref3" display="_ftnref3" xr:uid="{10E52928-2504-4A33-847A-FA4B7DD91C6F}"/>
    <hyperlink ref="A19" location="_ftnref4" display="_ftnref4" xr:uid="{1922C17A-D3A3-4393-8A71-41C6099D12AF}"/>
    <hyperlink ref="A20" location="_ftnref5" display="_ftnref5" xr:uid="{82D529AE-DBAC-4512-8EBC-BF877FD10060}"/>
    <hyperlink ref="A21" location="_ftnref6" display="_ftnref6" xr:uid="{9E7BB21B-5E79-4684-A757-465FFFDB1572}"/>
    <hyperlink ref="A22" location="_ftnref7" display="_ftnref7" xr:uid="{532E107F-6E62-4910-9A8A-94A2D30B9965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6E48-10A9-44B6-8FF2-25CA22E2F06C}">
  <dimension ref="A1:W22"/>
  <sheetViews>
    <sheetView workbookViewId="0">
      <selection activeCell="F21" sqref="F21"/>
    </sheetView>
  </sheetViews>
  <sheetFormatPr defaultColWidth="8.88671875" defaultRowHeight="9.6"/>
  <cols>
    <col min="1" max="1" width="19.6640625" style="2" customWidth="1"/>
    <col min="2" max="12" width="8.88671875" style="2"/>
    <col min="13" max="13" width="17" style="2" customWidth="1"/>
    <col min="14" max="16384" width="8.88671875" style="2"/>
  </cols>
  <sheetData>
    <row r="1" spans="1:23" ht="19.2" customHeight="1">
      <c r="A1" s="1182" t="s">
        <v>59</v>
      </c>
      <c r="B1" s="319" t="s">
        <v>60</v>
      </c>
      <c r="C1" s="1182" t="s">
        <v>99</v>
      </c>
      <c r="D1" s="1182" t="s">
        <v>100</v>
      </c>
      <c r="E1" s="1182" t="s">
        <v>101</v>
      </c>
      <c r="F1" s="1182" t="s">
        <v>102</v>
      </c>
      <c r="G1" s="1182" t="s">
        <v>103</v>
      </c>
      <c r="H1" s="1182" t="s">
        <v>104</v>
      </c>
      <c r="I1" s="1182" t="s">
        <v>105</v>
      </c>
      <c r="J1" s="1182" t="s">
        <v>106</v>
      </c>
      <c r="K1" s="1182" t="s">
        <v>107</v>
      </c>
      <c r="L1" s="1182" t="s">
        <v>712</v>
      </c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23" ht="9.6" customHeight="1">
      <c r="A2" s="1182"/>
      <c r="B2" s="319" t="s">
        <v>61</v>
      </c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1:23" ht="19.2">
      <c r="A3" s="351" t="s">
        <v>108</v>
      </c>
      <c r="B3" s="352">
        <v>4422</v>
      </c>
      <c r="C3" s="352">
        <v>4542</v>
      </c>
      <c r="D3" s="352">
        <v>4662</v>
      </c>
      <c r="E3" s="352">
        <v>4781</v>
      </c>
      <c r="F3" s="352">
        <v>4901</v>
      </c>
      <c r="G3" s="352">
        <v>5021</v>
      </c>
      <c r="H3" s="352">
        <v>5141</v>
      </c>
      <c r="I3" s="352">
        <v>5260</v>
      </c>
      <c r="J3" s="352">
        <v>5380</v>
      </c>
      <c r="K3" s="352">
        <v>5500</v>
      </c>
      <c r="L3" s="352" t="str">
        <f>'Nacionalni plan razvoja'!G3</f>
        <v>vlak-km po zaposlenom</v>
      </c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</row>
    <row r="4" spans="1:23" ht="38.4">
      <c r="A4" s="351" t="s">
        <v>109</v>
      </c>
      <c r="B4" s="352">
        <v>22029</v>
      </c>
      <c r="C4" s="352">
        <v>22448</v>
      </c>
      <c r="D4" s="352">
        <v>22866</v>
      </c>
      <c r="E4" s="352">
        <v>23285</v>
      </c>
      <c r="F4" s="352">
        <v>23703</v>
      </c>
      <c r="G4" s="352">
        <v>24122</v>
      </c>
      <c r="H4" s="352">
        <v>24540</v>
      </c>
      <c r="I4" s="352">
        <v>24959</v>
      </c>
      <c r="J4" s="352">
        <v>25377</v>
      </c>
      <c r="K4" s="352">
        <v>25796</v>
      </c>
      <c r="L4" s="352" t="str">
        <f>'Nacionalni plan razvoja'!G5</f>
        <v>Investicije i održavanje</v>
      </c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</row>
    <row r="5" spans="1:23" ht="38.4">
      <c r="A5" s="353" t="s">
        <v>110</v>
      </c>
      <c r="B5" s="354">
        <v>23.55</v>
      </c>
      <c r="C5" s="354">
        <v>39.25</v>
      </c>
      <c r="D5" s="354">
        <v>57.573999999999998</v>
      </c>
      <c r="E5" s="354">
        <v>130.85</v>
      </c>
      <c r="F5" s="354">
        <v>130.85</v>
      </c>
      <c r="G5" s="354">
        <v>164.87</v>
      </c>
      <c r="H5" s="354">
        <v>193.65</v>
      </c>
      <c r="I5" s="354">
        <v>193.66</v>
      </c>
      <c r="J5" s="354">
        <v>222.44</v>
      </c>
      <c r="K5" s="354">
        <v>222.44</v>
      </c>
      <c r="L5" s="352" t="str">
        <f>'Nacionalni plan razvoja'!G6</f>
        <v>Investicije i održavanje</v>
      </c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</row>
    <row r="6" spans="1:23" ht="28.8">
      <c r="A6" s="353" t="s">
        <v>111</v>
      </c>
      <c r="B6" s="354">
        <v>49.72</v>
      </c>
      <c r="C6" s="354">
        <v>96.83</v>
      </c>
      <c r="D6" s="354">
        <v>146.55000000000001</v>
      </c>
      <c r="E6" s="354">
        <v>222.44</v>
      </c>
      <c r="F6" s="354">
        <v>280.01</v>
      </c>
      <c r="G6" s="354">
        <v>306.19</v>
      </c>
      <c r="H6" s="354">
        <v>345.44</v>
      </c>
      <c r="I6" s="354">
        <v>371.61</v>
      </c>
      <c r="J6" s="354">
        <v>397.78</v>
      </c>
      <c r="K6" s="354">
        <v>439.65</v>
      </c>
      <c r="L6" s="352" t="str">
        <f>'Nacionalni plan razvoja'!G7</f>
        <v>Investicije i održavanje</v>
      </c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</row>
    <row r="7" spans="1:23">
      <c r="A7" s="1182" t="s">
        <v>112</v>
      </c>
      <c r="B7" s="320">
        <v>0.8</v>
      </c>
      <c r="C7" s="1181">
        <v>0.7</v>
      </c>
      <c r="D7" s="1181">
        <v>0.7</v>
      </c>
      <c r="E7" s="1181">
        <v>0.7</v>
      </c>
      <c r="F7" s="1181">
        <v>0.6</v>
      </c>
      <c r="G7" s="1181">
        <v>0.6</v>
      </c>
      <c r="H7" s="1181">
        <v>0.5</v>
      </c>
      <c r="I7" s="1181">
        <v>0.5</v>
      </c>
      <c r="J7" s="1181">
        <v>0.5</v>
      </c>
      <c r="K7" s="1181">
        <v>0.4</v>
      </c>
      <c r="L7" s="1183" t="str">
        <f>'Nacionalni plan razvoja'!G8</f>
        <v>?</v>
      </c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</row>
    <row r="8" spans="1:23">
      <c r="A8" s="1182"/>
      <c r="B8" s="320">
        <v>-2019</v>
      </c>
      <c r="C8" s="1181"/>
      <c r="D8" s="1181"/>
      <c r="E8" s="1181"/>
      <c r="F8" s="1181"/>
      <c r="G8" s="1181"/>
      <c r="H8" s="1181"/>
      <c r="I8" s="1181"/>
      <c r="J8" s="1181"/>
      <c r="K8" s="1181"/>
      <c r="L8" s="1183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</row>
    <row r="9" spans="1:23" ht="28.8" hidden="1">
      <c r="A9" s="335" t="s">
        <v>113</v>
      </c>
      <c r="B9" s="320">
        <v>20</v>
      </c>
      <c r="C9" s="320">
        <v>20</v>
      </c>
      <c r="D9" s="320">
        <v>20</v>
      </c>
      <c r="E9" s="320">
        <v>40</v>
      </c>
      <c r="F9" s="320">
        <v>40</v>
      </c>
      <c r="G9" s="320">
        <v>60</v>
      </c>
      <c r="H9" s="320">
        <v>80</v>
      </c>
      <c r="I9" s="320">
        <v>100</v>
      </c>
      <c r="J9" s="320">
        <v>100</v>
      </c>
      <c r="K9" s="320">
        <v>100</v>
      </c>
      <c r="L9" s="320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</row>
    <row r="10" spans="1:23" ht="28.8" hidden="1">
      <c r="A10" s="335" t="s">
        <v>114</v>
      </c>
      <c r="B10" s="320">
        <v>20</v>
      </c>
      <c r="C10" s="320">
        <v>20</v>
      </c>
      <c r="D10" s="320">
        <v>20</v>
      </c>
      <c r="E10" s="320">
        <v>40</v>
      </c>
      <c r="F10" s="320">
        <v>40</v>
      </c>
      <c r="G10" s="320">
        <v>60</v>
      </c>
      <c r="H10" s="320">
        <v>80</v>
      </c>
      <c r="I10" s="320">
        <v>100</v>
      </c>
      <c r="J10" s="320">
        <v>100</v>
      </c>
      <c r="K10" s="320">
        <v>100</v>
      </c>
      <c r="L10" s="320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</row>
    <row r="11" spans="1:23" ht="19.2" hidden="1">
      <c r="A11" s="335" t="s">
        <v>115</v>
      </c>
      <c r="B11" s="321" t="s">
        <v>116</v>
      </c>
      <c r="C11" s="320">
        <v>29</v>
      </c>
      <c r="D11" s="320">
        <v>29</v>
      </c>
      <c r="E11" s="320">
        <v>28</v>
      </c>
      <c r="F11" s="320">
        <v>27</v>
      </c>
      <c r="G11" s="320">
        <v>25</v>
      </c>
      <c r="H11" s="320">
        <v>23</v>
      </c>
      <c r="I11" s="320">
        <v>23</v>
      </c>
      <c r="J11" s="320">
        <v>22</v>
      </c>
      <c r="K11" s="320">
        <v>20</v>
      </c>
      <c r="L11" s="320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</row>
    <row r="12" spans="1:23" ht="28.8" hidden="1">
      <c r="A12" s="335" t="s">
        <v>117</v>
      </c>
      <c r="B12" s="321" t="s">
        <v>118</v>
      </c>
      <c r="C12" s="320">
        <v>9</v>
      </c>
      <c r="D12" s="320">
        <v>8</v>
      </c>
      <c r="E12" s="320">
        <v>7</v>
      </c>
      <c r="F12" s="320">
        <v>6</v>
      </c>
      <c r="G12" s="320">
        <v>6</v>
      </c>
      <c r="H12" s="320">
        <v>6</v>
      </c>
      <c r="I12" s="320">
        <v>6</v>
      </c>
      <c r="J12" s="320">
        <v>6</v>
      </c>
      <c r="K12" s="320">
        <v>6</v>
      </c>
      <c r="L12" s="320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</row>
    <row r="13" spans="1:23" ht="28.8" hidden="1">
      <c r="A13" s="335" t="s">
        <v>119</v>
      </c>
      <c r="B13" s="320">
        <v>6</v>
      </c>
      <c r="C13" s="320">
        <v>6</v>
      </c>
      <c r="D13" s="320">
        <v>6</v>
      </c>
      <c r="E13" s="320">
        <v>6</v>
      </c>
      <c r="F13" s="320">
        <v>6</v>
      </c>
      <c r="G13" s="320">
        <v>5</v>
      </c>
      <c r="H13" s="320">
        <v>5</v>
      </c>
      <c r="I13" s="320">
        <v>5</v>
      </c>
      <c r="J13" s="320">
        <v>5</v>
      </c>
      <c r="K13" s="320">
        <v>5</v>
      </c>
      <c r="L13" s="320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</row>
    <row r="14" spans="1:23" ht="28.8">
      <c r="A14" s="355" t="s">
        <v>120</v>
      </c>
      <c r="B14" s="356">
        <v>0</v>
      </c>
      <c r="C14" s="356">
        <v>0</v>
      </c>
      <c r="D14" s="356">
        <v>0</v>
      </c>
      <c r="E14" s="356">
        <v>50</v>
      </c>
      <c r="F14" s="356">
        <v>100</v>
      </c>
      <c r="G14" s="356">
        <v>100</v>
      </c>
      <c r="H14" s="356">
        <v>100</v>
      </c>
      <c r="I14" s="356">
        <v>100</v>
      </c>
      <c r="J14" s="356">
        <v>100</v>
      </c>
      <c r="K14" s="356">
        <v>100</v>
      </c>
      <c r="L14" s="356" t="str">
        <f>'Nacionalni plan razvoja'!G14</f>
        <v>Investicije i održavanje</v>
      </c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</row>
    <row r="15" spans="1:23" ht="38.4">
      <c r="A15" s="357" t="s">
        <v>121</v>
      </c>
      <c r="B15" s="356">
        <v>39.5</v>
      </c>
      <c r="C15" s="356">
        <v>42</v>
      </c>
      <c r="D15" s="356">
        <v>44.5</v>
      </c>
      <c r="E15" s="356">
        <v>49</v>
      </c>
      <c r="F15" s="356">
        <v>50</v>
      </c>
      <c r="G15" s="356">
        <v>51</v>
      </c>
      <c r="H15" s="356">
        <v>52</v>
      </c>
      <c r="I15" s="356">
        <v>53</v>
      </c>
      <c r="J15" s="356">
        <v>54</v>
      </c>
      <c r="K15" s="356">
        <v>55</v>
      </c>
      <c r="L15" s="356" t="str">
        <f>'Nacionalni plan razvoja'!G15</f>
        <v>Investicije i održavanje</v>
      </c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</row>
    <row r="18" spans="1:1" ht="19.2">
      <c r="A18" s="3" t="s">
        <v>122</v>
      </c>
    </row>
    <row r="19" spans="1:1" ht="19.2">
      <c r="A19" s="3" t="s">
        <v>123</v>
      </c>
    </row>
    <row r="20" spans="1:1" ht="28.8">
      <c r="A20" s="3" t="s">
        <v>124</v>
      </c>
    </row>
    <row r="21" spans="1:1" ht="19.2">
      <c r="A21" s="3" t="s">
        <v>125</v>
      </c>
    </row>
    <row r="22" spans="1:1" ht="48">
      <c r="A22" s="3" t="s">
        <v>126</v>
      </c>
    </row>
  </sheetData>
  <mergeCells count="22">
    <mergeCell ref="L1:L2"/>
    <mergeCell ref="L7:L8"/>
    <mergeCell ref="G7:G8"/>
    <mergeCell ref="A1:A2"/>
    <mergeCell ref="C1:C2"/>
    <mergeCell ref="D1:D2"/>
    <mergeCell ref="E1:E2"/>
    <mergeCell ref="F1:F2"/>
    <mergeCell ref="G1:G2"/>
    <mergeCell ref="A7:A8"/>
    <mergeCell ref="C7:C8"/>
    <mergeCell ref="D7:D8"/>
    <mergeCell ref="E7:E8"/>
    <mergeCell ref="F7:F8"/>
    <mergeCell ref="H7:H8"/>
    <mergeCell ref="I7:I8"/>
    <mergeCell ref="J7:J8"/>
    <mergeCell ref="K7:K8"/>
    <mergeCell ref="H1:H2"/>
    <mergeCell ref="I1:I2"/>
    <mergeCell ref="J1:J2"/>
    <mergeCell ref="K1:K2"/>
  </mergeCells>
  <hyperlinks>
    <hyperlink ref="A5" location="_ftn1" display="_ftn1" xr:uid="{A26B3B6E-F935-44AA-A8B1-E5FF161CC507}"/>
    <hyperlink ref="A6" location="_ftn2" display="_ftn2" xr:uid="{4CB9111B-A73C-4245-AF1E-052FAB3CC1CC}"/>
    <hyperlink ref="B11" location="_ftn3" display="_ftn3" xr:uid="{E7C2AF17-7C72-4C3F-BFE4-E80B9D52F463}"/>
    <hyperlink ref="B12" location="_ftn4" display="_ftn4" xr:uid="{A86393ED-CD98-4753-A49E-C8779576FD98}"/>
    <hyperlink ref="A15" location="_ftn5" display="_ftn5" xr:uid="{0C9A671C-65A7-4154-A755-4238D10A60C6}"/>
    <hyperlink ref="A18" location="_ftnref1" display="_ftnref1" xr:uid="{15FCFC1E-CA5F-4C7B-A4D2-B6DED4A4ED33}"/>
    <hyperlink ref="A19" location="_ftnref2" display="_ftnref2" xr:uid="{67F33D09-52D2-43C7-88CC-5C65D33634FF}"/>
    <hyperlink ref="A20" location="_ftnref3" display="_ftnref3" xr:uid="{66ED535B-E23F-460C-9E31-8FDFC4F5CDEA}"/>
    <hyperlink ref="A21" location="_ftnref4" display="_ftnref4" xr:uid="{C8E446FC-06E0-4586-B02C-C5648071DB14}"/>
    <hyperlink ref="A22" location="_ftnref5" display="_ftnref5" xr:uid="{682BBEB5-8D29-4258-9690-1788CB970E7D}"/>
    <hyperlink ref="M5" location="_ftn1" display="_ftn1" xr:uid="{C49FE31B-56CE-4100-97A7-9632E6775E80}"/>
    <hyperlink ref="M6" location="_ftn2" display="_ftn2" xr:uid="{8C32BA71-DBBD-4763-A9E4-915906BC487C}"/>
    <hyperlink ref="M8" location="_ftn3" display="_ftn3" xr:uid="{17B72AC6-558D-4434-BA6B-D4E090D1BBAE}"/>
    <hyperlink ref="M9" location="_ftn4" display="_ftn4" xr:uid="{1C640F6A-8EDF-42A2-9FCF-241263D1657E}"/>
    <hyperlink ref="M14" location="_ftn7" display="_ftn7" xr:uid="{87564FA4-62CE-4CDC-AFA8-CF3382B072F7}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5E066-525F-4CD0-B72D-09522D84CFCC}">
  <sheetPr>
    <pageSetUpPr fitToPage="1"/>
  </sheetPr>
  <dimension ref="A1:V45"/>
  <sheetViews>
    <sheetView topLeftCell="C1" workbookViewId="0">
      <selection activeCell="H16" sqref="H16"/>
    </sheetView>
  </sheetViews>
  <sheetFormatPr defaultRowHeight="14.4"/>
  <cols>
    <col min="2" max="2" width="15.5546875" customWidth="1"/>
    <col min="4" max="4" width="22.44140625" customWidth="1"/>
    <col min="5" max="5" width="8.88671875" customWidth="1"/>
    <col min="7" max="7" width="15.5546875" customWidth="1"/>
    <col min="8" max="8" width="16.6640625" customWidth="1"/>
    <col min="10" max="22" width="7.5546875" style="81" customWidth="1"/>
  </cols>
  <sheetData>
    <row r="1" spans="1:22" ht="48.6" thickBot="1">
      <c r="A1" s="16" t="s">
        <v>58</v>
      </c>
      <c r="B1" s="17" t="s">
        <v>210</v>
      </c>
      <c r="C1" s="17" t="s">
        <v>211</v>
      </c>
      <c r="D1" s="17" t="s">
        <v>212</v>
      </c>
      <c r="E1" s="17" t="s">
        <v>213</v>
      </c>
      <c r="F1" s="17" t="s">
        <v>214</v>
      </c>
      <c r="G1" s="17" t="s">
        <v>215</v>
      </c>
      <c r="H1" s="17" t="s">
        <v>216</v>
      </c>
      <c r="I1" s="17" t="s">
        <v>712</v>
      </c>
      <c r="J1" s="17">
        <v>2020</v>
      </c>
      <c r="K1" s="17">
        <v>2021</v>
      </c>
      <c r="L1" s="17">
        <v>2022</v>
      </c>
      <c r="M1" s="17">
        <v>2023</v>
      </c>
      <c r="N1" s="17">
        <v>2024</v>
      </c>
      <c r="O1" s="17">
        <v>2025</v>
      </c>
      <c r="P1" s="17">
        <v>2026</v>
      </c>
      <c r="Q1" s="17">
        <v>2027</v>
      </c>
      <c r="R1" s="17">
        <v>2028</v>
      </c>
      <c r="S1" s="17">
        <v>2029</v>
      </c>
      <c r="T1" s="17">
        <v>2030</v>
      </c>
      <c r="U1" s="17">
        <v>2031</v>
      </c>
      <c r="V1" s="17">
        <v>2032</v>
      </c>
    </row>
    <row r="2" spans="1:22" ht="39.6" hidden="1" thickTop="1" thickBot="1">
      <c r="A2" s="1188" t="s">
        <v>65</v>
      </c>
      <c r="B2" s="18" t="s">
        <v>217</v>
      </c>
      <c r="C2" s="18" t="s">
        <v>218</v>
      </c>
      <c r="D2" s="18" t="s">
        <v>219</v>
      </c>
      <c r="E2" s="18">
        <v>1</v>
      </c>
      <c r="F2" s="18" t="s">
        <v>79</v>
      </c>
      <c r="G2" s="18" t="s">
        <v>220</v>
      </c>
      <c r="H2" s="1184" t="s">
        <v>221</v>
      </c>
      <c r="I2" s="18"/>
      <c r="J2" s="358"/>
      <c r="K2" s="358"/>
      <c r="L2" s="358"/>
      <c r="M2" s="359"/>
      <c r="N2" s="358"/>
      <c r="O2" s="358"/>
      <c r="P2" s="358"/>
      <c r="Q2" s="358"/>
      <c r="R2" s="358"/>
      <c r="S2" s="358"/>
      <c r="T2" s="358"/>
      <c r="U2" s="358"/>
      <c r="V2" s="358"/>
    </row>
    <row r="3" spans="1:22" ht="29.4" thickTop="1">
      <c r="A3" s="1186"/>
      <c r="B3" s="1136" t="s">
        <v>222</v>
      </c>
      <c r="C3" s="1136" t="s">
        <v>223</v>
      </c>
      <c r="D3" s="19" t="s">
        <v>224</v>
      </c>
      <c r="E3" s="19" t="s">
        <v>232</v>
      </c>
      <c r="F3" s="1136" t="s">
        <v>67</v>
      </c>
      <c r="G3" s="1136" t="s">
        <v>233</v>
      </c>
      <c r="H3" s="1135"/>
      <c r="I3" s="1136" t="s">
        <v>708</v>
      </c>
      <c r="J3" s="349"/>
      <c r="K3" s="349"/>
      <c r="L3" s="350">
        <f>1300/9</f>
        <v>144.44444444444446</v>
      </c>
      <c r="M3" s="350">
        <f t="shared" ref="M3:T3" si="0">1300/9</f>
        <v>144.44444444444446</v>
      </c>
      <c r="N3" s="350">
        <f t="shared" si="0"/>
        <v>144.44444444444446</v>
      </c>
      <c r="O3" s="350">
        <f t="shared" si="0"/>
        <v>144.44444444444446</v>
      </c>
      <c r="P3" s="350">
        <f t="shared" si="0"/>
        <v>144.44444444444446</v>
      </c>
      <c r="Q3" s="350">
        <f t="shared" si="0"/>
        <v>144.44444444444446</v>
      </c>
      <c r="R3" s="350">
        <f t="shared" si="0"/>
        <v>144.44444444444446</v>
      </c>
      <c r="S3" s="350">
        <f t="shared" si="0"/>
        <v>144.44444444444446</v>
      </c>
      <c r="T3" s="350">
        <f t="shared" si="0"/>
        <v>144.44444444444446</v>
      </c>
      <c r="U3" s="349"/>
      <c r="V3" s="349"/>
    </row>
    <row r="4" spans="1:22" ht="19.8" thickBot="1">
      <c r="A4" s="1186"/>
      <c r="B4" s="1135"/>
      <c r="C4" s="1135"/>
      <c r="D4" s="19" t="s">
        <v>225</v>
      </c>
      <c r="E4" s="18">
        <v>10</v>
      </c>
      <c r="F4" s="1135"/>
      <c r="G4" s="1135"/>
      <c r="H4" s="1135"/>
      <c r="I4" s="1135"/>
      <c r="J4" s="349"/>
      <c r="K4" s="349"/>
      <c r="L4" s="350">
        <v>1</v>
      </c>
      <c r="M4" s="350">
        <v>1</v>
      </c>
      <c r="N4" s="350">
        <v>1</v>
      </c>
      <c r="O4" s="350">
        <v>1</v>
      </c>
      <c r="P4" s="350">
        <v>1</v>
      </c>
      <c r="Q4" s="350">
        <v>1</v>
      </c>
      <c r="R4" s="350">
        <v>1</v>
      </c>
      <c r="S4" s="350">
        <v>1</v>
      </c>
      <c r="T4" s="350">
        <v>2</v>
      </c>
      <c r="U4" s="349"/>
      <c r="V4" s="349"/>
    </row>
    <row r="5" spans="1:22" ht="19.8" thickBot="1">
      <c r="A5" s="1186"/>
      <c r="B5" s="1135"/>
      <c r="C5" s="1135"/>
      <c r="D5" s="19" t="s">
        <v>226</v>
      </c>
      <c r="E5" s="18">
        <v>10</v>
      </c>
      <c r="F5" s="1135"/>
      <c r="G5" s="1135"/>
      <c r="H5" s="1135"/>
      <c r="I5" s="1135"/>
      <c r="J5" s="349"/>
      <c r="K5" s="349"/>
      <c r="L5" s="350">
        <v>1</v>
      </c>
      <c r="M5" s="350">
        <v>1</v>
      </c>
      <c r="N5" s="350">
        <v>1</v>
      </c>
      <c r="O5" s="350">
        <v>1</v>
      </c>
      <c r="P5" s="350">
        <v>1</v>
      </c>
      <c r="Q5" s="350">
        <v>1</v>
      </c>
      <c r="R5" s="350">
        <v>1</v>
      </c>
      <c r="S5" s="350">
        <v>1</v>
      </c>
      <c r="T5" s="350">
        <v>2</v>
      </c>
      <c r="U5" s="349"/>
      <c r="V5" s="349"/>
    </row>
    <row r="6" spans="1:22" ht="19.8" thickBot="1">
      <c r="A6" s="1186"/>
      <c r="B6" s="1135"/>
      <c r="C6" s="1135"/>
      <c r="D6" s="19" t="s">
        <v>227</v>
      </c>
      <c r="E6" s="18">
        <v>25</v>
      </c>
      <c r="F6" s="1135"/>
      <c r="G6" s="1135"/>
      <c r="H6" s="1135"/>
      <c r="I6" s="1135"/>
      <c r="J6" s="349"/>
      <c r="K6" s="349"/>
      <c r="L6" s="350">
        <v>3</v>
      </c>
      <c r="M6" s="350">
        <v>3</v>
      </c>
      <c r="N6" s="350">
        <v>3</v>
      </c>
      <c r="O6" s="350">
        <v>3</v>
      </c>
      <c r="P6" s="350">
        <v>3</v>
      </c>
      <c r="Q6" s="350">
        <v>3</v>
      </c>
      <c r="R6" s="350">
        <v>3</v>
      </c>
      <c r="S6" s="350">
        <v>3</v>
      </c>
      <c r="T6" s="350">
        <v>1</v>
      </c>
      <c r="U6" s="349"/>
      <c r="V6" s="349"/>
    </row>
    <row r="7" spans="1:22" ht="19.8" thickBot="1">
      <c r="A7" s="1186"/>
      <c r="B7" s="1135"/>
      <c r="C7" s="1135"/>
      <c r="D7" s="19" t="s">
        <v>228</v>
      </c>
      <c r="E7" s="18">
        <v>20</v>
      </c>
      <c r="F7" s="1135"/>
      <c r="G7" s="1135"/>
      <c r="H7" s="1135"/>
      <c r="I7" s="1135"/>
      <c r="J7" s="349"/>
      <c r="K7" s="349"/>
      <c r="L7" s="350">
        <v>2</v>
      </c>
      <c r="M7" s="350">
        <v>2</v>
      </c>
      <c r="N7" s="350">
        <v>2</v>
      </c>
      <c r="O7" s="350">
        <v>2</v>
      </c>
      <c r="P7" s="350">
        <v>2</v>
      </c>
      <c r="Q7" s="350">
        <v>2</v>
      </c>
      <c r="R7" s="350">
        <v>2</v>
      </c>
      <c r="S7" s="350">
        <v>2</v>
      </c>
      <c r="T7" s="350">
        <v>4</v>
      </c>
      <c r="U7" s="349"/>
      <c r="V7" s="349"/>
    </row>
    <row r="8" spans="1:22" ht="19.8" thickBot="1">
      <c r="A8" s="1186"/>
      <c r="B8" s="1135"/>
      <c r="C8" s="1135"/>
      <c r="D8" s="19" t="s">
        <v>229</v>
      </c>
      <c r="E8" s="18">
        <v>3</v>
      </c>
      <c r="F8" s="1135"/>
      <c r="G8" s="1135"/>
      <c r="H8" s="1135"/>
      <c r="I8" s="1135"/>
      <c r="J8" s="349"/>
      <c r="K8" s="349"/>
      <c r="L8" s="350">
        <v>1</v>
      </c>
      <c r="M8" s="350"/>
      <c r="N8" s="350"/>
      <c r="O8" s="350"/>
      <c r="P8" s="350">
        <v>1</v>
      </c>
      <c r="Q8" s="350"/>
      <c r="R8" s="350"/>
      <c r="S8" s="350"/>
      <c r="T8" s="350">
        <v>1</v>
      </c>
      <c r="U8" s="349"/>
      <c r="V8" s="349"/>
    </row>
    <row r="9" spans="1:22" ht="19.2">
      <c r="A9" s="1186"/>
      <c r="B9" s="1135"/>
      <c r="C9" s="1135"/>
      <c r="D9" s="19" t="s">
        <v>230</v>
      </c>
      <c r="E9" s="19" t="s">
        <v>718</v>
      </c>
      <c r="F9" s="1135"/>
      <c r="G9" s="1135"/>
      <c r="H9" s="1135"/>
      <c r="I9" s="1135"/>
      <c r="J9" s="349"/>
      <c r="K9" s="349"/>
      <c r="L9" s="350"/>
      <c r="M9" s="350"/>
      <c r="N9" s="350"/>
      <c r="O9" s="350"/>
      <c r="P9" s="350"/>
      <c r="Q9" s="350"/>
      <c r="R9" s="350"/>
      <c r="S9" s="350"/>
      <c r="T9" s="350">
        <v>55</v>
      </c>
      <c r="U9" s="349"/>
      <c r="V9" s="349"/>
    </row>
    <row r="10" spans="1:22" ht="19.8" thickBot="1">
      <c r="A10" s="1186"/>
      <c r="B10" s="1137"/>
      <c r="C10" s="1137"/>
      <c r="D10" s="18" t="s">
        <v>231</v>
      </c>
      <c r="E10" s="18" t="s">
        <v>719</v>
      </c>
      <c r="F10" s="1137"/>
      <c r="G10" s="1137"/>
      <c r="H10" s="1135"/>
      <c r="I10" s="1137"/>
      <c r="J10" s="358"/>
      <c r="K10" s="358"/>
      <c r="L10" s="359"/>
      <c r="M10" s="359"/>
      <c r="N10" s="359"/>
      <c r="O10" s="359"/>
      <c r="P10" s="359"/>
      <c r="Q10" s="359"/>
      <c r="R10" s="359"/>
      <c r="S10" s="359"/>
      <c r="T10" s="359">
        <v>35</v>
      </c>
      <c r="U10" s="358"/>
      <c r="V10" s="358"/>
    </row>
    <row r="11" spans="1:22" ht="28.8" hidden="1">
      <c r="A11" s="1186"/>
      <c r="B11" s="1136" t="s">
        <v>234</v>
      </c>
      <c r="C11" s="1136" t="s">
        <v>235</v>
      </c>
      <c r="D11" s="19" t="s">
        <v>236</v>
      </c>
      <c r="E11" s="19" t="s">
        <v>238</v>
      </c>
      <c r="F11" s="1136" t="s">
        <v>79</v>
      </c>
      <c r="G11" s="1136" t="s">
        <v>239</v>
      </c>
      <c r="H11" s="1135"/>
      <c r="I11" s="1136"/>
      <c r="J11" s="349"/>
      <c r="K11" s="349"/>
      <c r="L11" s="350"/>
      <c r="M11" s="350"/>
      <c r="N11" s="350"/>
      <c r="O11" s="350"/>
      <c r="P11" s="350"/>
      <c r="Q11" s="350"/>
      <c r="R11" s="350"/>
      <c r="S11" s="350"/>
      <c r="T11" s="350"/>
      <c r="U11" s="349"/>
      <c r="V11" s="349"/>
    </row>
    <row r="12" spans="1:22" ht="29.4" hidden="1" thickBot="1">
      <c r="A12" s="1187"/>
      <c r="B12" s="1137"/>
      <c r="C12" s="1137"/>
      <c r="D12" s="18" t="s">
        <v>237</v>
      </c>
      <c r="E12" s="349">
        <v>10</v>
      </c>
      <c r="F12" s="1137"/>
      <c r="G12" s="1137"/>
      <c r="H12" s="1137"/>
      <c r="I12" s="1137"/>
      <c r="J12" s="358"/>
      <c r="K12" s="358"/>
      <c r="L12" s="359"/>
      <c r="M12" s="359"/>
      <c r="N12" s="359"/>
      <c r="O12" s="359"/>
      <c r="P12" s="359"/>
      <c r="Q12" s="359"/>
      <c r="R12" s="359"/>
      <c r="S12" s="359"/>
      <c r="T12" s="359"/>
      <c r="U12" s="358"/>
      <c r="V12" s="358"/>
    </row>
    <row r="13" spans="1:22" ht="67.8" hidden="1" thickBot="1">
      <c r="A13" s="1185" t="s">
        <v>69</v>
      </c>
      <c r="B13" s="18" t="s">
        <v>240</v>
      </c>
      <c r="C13" s="18" t="s">
        <v>241</v>
      </c>
      <c r="D13" s="18" t="s">
        <v>242</v>
      </c>
      <c r="E13" s="18">
        <v>30</v>
      </c>
      <c r="F13" s="18" t="s">
        <v>79</v>
      </c>
      <c r="G13" s="18" t="s">
        <v>243</v>
      </c>
      <c r="H13" s="18" t="s">
        <v>244</v>
      </c>
      <c r="I13" s="18"/>
      <c r="J13" s="358"/>
      <c r="K13" s="358"/>
      <c r="L13" s="359"/>
      <c r="M13" s="359"/>
      <c r="N13" s="358"/>
      <c r="O13" s="358"/>
      <c r="P13" s="358"/>
      <c r="Q13" s="358"/>
      <c r="R13" s="358"/>
      <c r="S13" s="358"/>
      <c r="T13" s="358"/>
      <c r="U13" s="358"/>
      <c r="V13" s="358"/>
    </row>
    <row r="14" spans="1:22" ht="19.2">
      <c r="A14" s="1186"/>
      <c r="B14" s="1136" t="s">
        <v>245</v>
      </c>
      <c r="C14" s="1136" t="s">
        <v>223</v>
      </c>
      <c r="D14" s="19" t="s">
        <v>246</v>
      </c>
      <c r="E14" s="19" t="s">
        <v>249</v>
      </c>
      <c r="F14" s="1136" t="s">
        <v>67</v>
      </c>
      <c r="G14" s="1136" t="s">
        <v>250</v>
      </c>
      <c r="H14" s="19" t="s">
        <v>251</v>
      </c>
      <c r="I14" s="1136" t="s">
        <v>708</v>
      </c>
      <c r="J14" s="349"/>
      <c r="K14" s="349"/>
      <c r="L14" s="350">
        <v>155</v>
      </c>
      <c r="M14" s="350">
        <f>L14</f>
        <v>155</v>
      </c>
      <c r="N14" s="350">
        <f t="shared" ref="N14:S14" si="1">M14</f>
        <v>155</v>
      </c>
      <c r="O14" s="350">
        <f t="shared" si="1"/>
        <v>155</v>
      </c>
      <c r="P14" s="350">
        <f t="shared" si="1"/>
        <v>155</v>
      </c>
      <c r="Q14" s="350">
        <f t="shared" si="1"/>
        <v>155</v>
      </c>
      <c r="R14" s="350">
        <f t="shared" si="1"/>
        <v>155</v>
      </c>
      <c r="S14" s="350">
        <f t="shared" si="1"/>
        <v>155</v>
      </c>
      <c r="T14" s="350">
        <f>1400-SUM(L14:S14)</f>
        <v>160</v>
      </c>
      <c r="U14" s="349"/>
      <c r="V14" s="349"/>
    </row>
    <row r="15" spans="1:22" ht="28.8">
      <c r="A15" s="1186"/>
      <c r="B15" s="1135"/>
      <c r="C15" s="1135"/>
      <c r="D15" s="19" t="s">
        <v>247</v>
      </c>
      <c r="E15" s="19" t="s">
        <v>720</v>
      </c>
      <c r="F15" s="1135"/>
      <c r="G15" s="1135"/>
      <c r="H15" s="19" t="s">
        <v>252</v>
      </c>
      <c r="I15" s="1135"/>
      <c r="J15" s="349"/>
      <c r="K15" s="349"/>
      <c r="L15" s="350">
        <v>22</v>
      </c>
      <c r="M15" s="350">
        <f>L15</f>
        <v>22</v>
      </c>
      <c r="N15" s="350">
        <f t="shared" ref="N15:S18" si="2">M15</f>
        <v>22</v>
      </c>
      <c r="O15" s="350">
        <f t="shared" si="2"/>
        <v>22</v>
      </c>
      <c r="P15" s="350">
        <f t="shared" si="2"/>
        <v>22</v>
      </c>
      <c r="Q15" s="350">
        <f t="shared" si="2"/>
        <v>22</v>
      </c>
      <c r="R15" s="350">
        <f t="shared" si="2"/>
        <v>22</v>
      </c>
      <c r="S15" s="350">
        <f t="shared" si="2"/>
        <v>22</v>
      </c>
      <c r="T15" s="350">
        <f>200-SUM(L15:S15)</f>
        <v>24</v>
      </c>
      <c r="U15" s="349"/>
      <c r="V15" s="349"/>
    </row>
    <row r="16" spans="1:22" ht="39" thickBot="1">
      <c r="A16" s="1186"/>
      <c r="B16" s="1135"/>
      <c r="C16" s="1135"/>
      <c r="D16" s="19" t="s">
        <v>248</v>
      </c>
      <c r="E16" s="18">
        <v>40</v>
      </c>
      <c r="F16" s="1135"/>
      <c r="G16" s="1135"/>
      <c r="H16" s="19" t="s">
        <v>253</v>
      </c>
      <c r="I16" s="1135"/>
      <c r="J16" s="349"/>
      <c r="K16" s="349"/>
      <c r="L16" s="350">
        <v>4</v>
      </c>
      <c r="M16" s="350">
        <f>L16</f>
        <v>4</v>
      </c>
      <c r="N16" s="350">
        <f t="shared" si="2"/>
        <v>4</v>
      </c>
      <c r="O16" s="350">
        <f t="shared" si="2"/>
        <v>4</v>
      </c>
      <c r="P16" s="350">
        <f t="shared" si="2"/>
        <v>4</v>
      </c>
      <c r="Q16" s="350">
        <f t="shared" si="2"/>
        <v>4</v>
      </c>
      <c r="R16" s="350">
        <f t="shared" si="2"/>
        <v>4</v>
      </c>
      <c r="S16" s="350">
        <f t="shared" si="2"/>
        <v>4</v>
      </c>
      <c r="T16" s="350">
        <f>40-SUM(L16:S16)</f>
        <v>8</v>
      </c>
      <c r="U16" s="349"/>
      <c r="V16" s="349"/>
    </row>
    <row r="17" spans="1:22" ht="15" thickBot="1">
      <c r="A17" s="1187"/>
      <c r="B17" s="1137"/>
      <c r="C17" s="1137"/>
      <c r="D17" s="20"/>
      <c r="E17" s="20"/>
      <c r="F17" s="1137"/>
      <c r="G17" s="1137"/>
      <c r="H17" s="18" t="s">
        <v>254</v>
      </c>
      <c r="I17" s="1137"/>
      <c r="J17" s="360"/>
      <c r="K17" s="360"/>
      <c r="L17" s="361"/>
      <c r="M17" s="361"/>
      <c r="N17" s="361"/>
      <c r="O17" s="361"/>
      <c r="P17" s="361"/>
      <c r="Q17" s="361"/>
      <c r="R17" s="361"/>
      <c r="S17" s="361"/>
      <c r="T17" s="361"/>
      <c r="U17" s="360"/>
      <c r="V17" s="360"/>
    </row>
    <row r="18" spans="1:22" ht="48.6" thickBot="1">
      <c r="A18" s="1185" t="s">
        <v>73</v>
      </c>
      <c r="B18" s="18" t="s">
        <v>255</v>
      </c>
      <c r="C18" s="18" t="s">
        <v>223</v>
      </c>
      <c r="D18" s="18" t="s">
        <v>256</v>
      </c>
      <c r="E18" s="18" t="s">
        <v>257</v>
      </c>
      <c r="F18" s="18" t="s">
        <v>67</v>
      </c>
      <c r="G18" s="18" t="s">
        <v>258</v>
      </c>
      <c r="H18" s="18" t="s">
        <v>221</v>
      </c>
      <c r="I18" s="18" t="s">
        <v>708</v>
      </c>
      <c r="J18" s="358"/>
      <c r="K18" s="358"/>
      <c r="L18" s="359">
        <v>2777</v>
      </c>
      <c r="M18" s="359">
        <f>L18</f>
        <v>2777</v>
      </c>
      <c r="N18" s="350">
        <f t="shared" si="2"/>
        <v>2777</v>
      </c>
      <c r="O18" s="350">
        <f t="shared" si="2"/>
        <v>2777</v>
      </c>
      <c r="P18" s="350">
        <f t="shared" si="2"/>
        <v>2777</v>
      </c>
      <c r="Q18" s="350">
        <f t="shared" si="2"/>
        <v>2777</v>
      </c>
      <c r="R18" s="350">
        <f t="shared" si="2"/>
        <v>2777</v>
      </c>
      <c r="S18" s="350">
        <f t="shared" si="2"/>
        <v>2777</v>
      </c>
      <c r="T18" s="350">
        <f>25000-SUM(L18:S18)</f>
        <v>2784</v>
      </c>
      <c r="U18" s="358"/>
      <c r="V18" s="358"/>
    </row>
    <row r="19" spans="1:22" hidden="1">
      <c r="A19" s="1186"/>
      <c r="B19" s="1136" t="s">
        <v>259</v>
      </c>
      <c r="C19" s="1136" t="s">
        <v>260</v>
      </c>
      <c r="D19" s="1136" t="s">
        <v>261</v>
      </c>
      <c r="E19" s="1142">
        <v>6</v>
      </c>
      <c r="F19" s="1136" t="s">
        <v>68</v>
      </c>
      <c r="G19" s="1136" t="s">
        <v>262</v>
      </c>
      <c r="H19" s="19" t="s">
        <v>263</v>
      </c>
      <c r="I19" s="1136"/>
      <c r="J19" s="1148"/>
      <c r="K19" s="1148"/>
      <c r="L19" s="1145"/>
      <c r="M19" s="1145"/>
      <c r="N19" s="1145"/>
      <c r="O19" s="1145"/>
      <c r="P19" s="1145"/>
      <c r="Q19" s="1145"/>
      <c r="R19" s="1145"/>
      <c r="S19" s="1145"/>
      <c r="T19" s="1145"/>
      <c r="U19" s="1148"/>
      <c r="V19" s="1148"/>
    </row>
    <row r="20" spans="1:22" ht="28.8" hidden="1">
      <c r="A20" s="1186"/>
      <c r="B20" s="1135"/>
      <c r="C20" s="1135"/>
      <c r="D20" s="1135"/>
      <c r="E20" s="1143"/>
      <c r="F20" s="1135"/>
      <c r="G20" s="1135"/>
      <c r="H20" s="19" t="s">
        <v>252</v>
      </c>
      <c r="I20" s="1135"/>
      <c r="J20" s="1149"/>
      <c r="K20" s="1149"/>
      <c r="L20" s="1146"/>
      <c r="M20" s="1146"/>
      <c r="N20" s="1146"/>
      <c r="O20" s="1146"/>
      <c r="P20" s="1146"/>
      <c r="Q20" s="1146"/>
      <c r="R20" s="1146"/>
      <c r="S20" s="1146"/>
      <c r="T20" s="1146"/>
      <c r="U20" s="1149"/>
      <c r="V20" s="1149"/>
    </row>
    <row r="21" spans="1:22" ht="39" hidden="1" thickBot="1">
      <c r="A21" s="1186"/>
      <c r="B21" s="1137"/>
      <c r="C21" s="1137"/>
      <c r="D21" s="1137"/>
      <c r="E21" s="1144"/>
      <c r="F21" s="1137"/>
      <c r="G21" s="1137"/>
      <c r="H21" s="18" t="s">
        <v>264</v>
      </c>
      <c r="I21" s="1137"/>
      <c r="J21" s="1150"/>
      <c r="K21" s="1150"/>
      <c r="L21" s="1147"/>
      <c r="M21" s="1147"/>
      <c r="N21" s="1147"/>
      <c r="O21" s="1147"/>
      <c r="P21" s="1147"/>
      <c r="Q21" s="1147"/>
      <c r="R21" s="1147"/>
      <c r="S21" s="1147"/>
      <c r="T21" s="1147"/>
      <c r="U21" s="1150"/>
      <c r="V21" s="1150"/>
    </row>
    <row r="22" spans="1:22">
      <c r="A22" s="1186"/>
      <c r="B22" s="1136" t="s">
        <v>265</v>
      </c>
      <c r="C22" s="1136" t="s">
        <v>223</v>
      </c>
      <c r="D22" s="1136" t="s">
        <v>266</v>
      </c>
      <c r="E22" s="1142">
        <v>50</v>
      </c>
      <c r="F22" s="1136" t="s">
        <v>67</v>
      </c>
      <c r="G22" s="1136" t="s">
        <v>267</v>
      </c>
      <c r="H22" s="19" t="s">
        <v>268</v>
      </c>
      <c r="I22" s="1136" t="s">
        <v>708</v>
      </c>
      <c r="J22" s="1148"/>
      <c r="K22" s="1148"/>
      <c r="L22" s="1148"/>
      <c r="M22" s="1145">
        <v>6</v>
      </c>
      <c r="N22" s="1145">
        <v>6</v>
      </c>
      <c r="O22" s="1145">
        <v>6</v>
      </c>
      <c r="P22" s="1145">
        <v>6</v>
      </c>
      <c r="Q22" s="1145">
        <v>6</v>
      </c>
      <c r="R22" s="1145">
        <v>6</v>
      </c>
      <c r="S22" s="1145">
        <v>6</v>
      </c>
      <c r="T22" s="1145">
        <f>50-SUM(M22:S24)</f>
        <v>8</v>
      </c>
      <c r="U22" s="1148"/>
      <c r="V22" s="1148"/>
    </row>
    <row r="23" spans="1:22" ht="28.8">
      <c r="A23" s="1186"/>
      <c r="B23" s="1135"/>
      <c r="C23" s="1135"/>
      <c r="D23" s="1135"/>
      <c r="E23" s="1143"/>
      <c r="F23" s="1135"/>
      <c r="G23" s="1135"/>
      <c r="H23" s="19" t="s">
        <v>252</v>
      </c>
      <c r="I23" s="1135"/>
      <c r="J23" s="1149"/>
      <c r="K23" s="1149"/>
      <c r="L23" s="1149"/>
      <c r="M23" s="1146"/>
      <c r="N23" s="1146"/>
      <c r="O23" s="1146"/>
      <c r="P23" s="1146"/>
      <c r="Q23" s="1146"/>
      <c r="R23" s="1146"/>
      <c r="S23" s="1146"/>
      <c r="T23" s="1146"/>
      <c r="U23" s="1149"/>
      <c r="V23" s="1149"/>
    </row>
    <row r="24" spans="1:22" ht="39" thickBot="1">
      <c r="A24" s="1187"/>
      <c r="B24" s="1137"/>
      <c r="C24" s="1137"/>
      <c r="D24" s="1137"/>
      <c r="E24" s="1144"/>
      <c r="F24" s="1137"/>
      <c r="G24" s="1137"/>
      <c r="H24" s="18" t="s">
        <v>264</v>
      </c>
      <c r="I24" s="1137"/>
      <c r="J24" s="1150"/>
      <c r="K24" s="1150"/>
      <c r="L24" s="1150"/>
      <c r="M24" s="1147"/>
      <c r="N24" s="1147"/>
      <c r="O24" s="1147"/>
      <c r="P24" s="1147"/>
      <c r="Q24" s="1147"/>
      <c r="R24" s="1147"/>
      <c r="S24" s="1147"/>
      <c r="T24" s="1147"/>
      <c r="U24" s="1150"/>
      <c r="V24" s="1150"/>
    </row>
    <row r="25" spans="1:22" ht="19.2">
      <c r="A25" s="1185" t="s">
        <v>77</v>
      </c>
      <c r="B25" s="1136" t="s">
        <v>269</v>
      </c>
      <c r="C25" s="1136" t="s">
        <v>223</v>
      </c>
      <c r="D25" s="19" t="s">
        <v>270</v>
      </c>
      <c r="E25" s="19">
        <v>5</v>
      </c>
      <c r="F25" s="1136" t="s">
        <v>67</v>
      </c>
      <c r="G25" s="1136" t="s">
        <v>272</v>
      </c>
      <c r="H25" s="19" t="s">
        <v>268</v>
      </c>
      <c r="I25" s="1136" t="s">
        <v>708</v>
      </c>
      <c r="J25" s="349"/>
      <c r="K25" s="349"/>
      <c r="L25" s="350">
        <v>1</v>
      </c>
      <c r="M25" s="350"/>
      <c r="N25" s="350">
        <v>1</v>
      </c>
      <c r="O25" s="350"/>
      <c r="P25" s="350">
        <v>1</v>
      </c>
      <c r="Q25" s="350"/>
      <c r="R25" s="350">
        <v>1</v>
      </c>
      <c r="S25" s="350"/>
      <c r="T25" s="350">
        <v>1</v>
      </c>
      <c r="U25" s="349"/>
      <c r="V25" s="349"/>
    </row>
    <row r="26" spans="1:22" ht="28.8">
      <c r="A26" s="1186"/>
      <c r="B26" s="1135"/>
      <c r="C26" s="1135"/>
      <c r="D26" s="19" t="s">
        <v>271</v>
      </c>
      <c r="E26" s="19">
        <v>10</v>
      </c>
      <c r="F26" s="1135"/>
      <c r="G26" s="1135"/>
      <c r="H26" s="19" t="s">
        <v>244</v>
      </c>
      <c r="I26" s="1135"/>
      <c r="J26" s="349"/>
      <c r="K26" s="349"/>
      <c r="L26" s="350">
        <v>1</v>
      </c>
      <c r="M26" s="350">
        <v>1</v>
      </c>
      <c r="N26" s="350">
        <v>1</v>
      </c>
      <c r="O26" s="350">
        <v>1</v>
      </c>
      <c r="P26" s="350">
        <v>1</v>
      </c>
      <c r="Q26" s="350">
        <v>1</v>
      </c>
      <c r="R26" s="350">
        <v>1</v>
      </c>
      <c r="S26" s="350">
        <v>1</v>
      </c>
      <c r="T26" s="350">
        <v>2</v>
      </c>
      <c r="U26" s="349"/>
      <c r="V26" s="349"/>
    </row>
    <row r="27" spans="1:22" ht="39" thickBot="1">
      <c r="A27" s="1186"/>
      <c r="B27" s="1137"/>
      <c r="C27" s="1137"/>
      <c r="D27" s="20"/>
      <c r="E27" s="20"/>
      <c r="F27" s="1137"/>
      <c r="G27" s="1137"/>
      <c r="H27" s="18" t="s">
        <v>264</v>
      </c>
      <c r="I27" s="1137"/>
      <c r="J27" s="360"/>
      <c r="K27" s="360"/>
      <c r="L27" s="361"/>
      <c r="M27" s="361"/>
      <c r="N27" s="361"/>
      <c r="O27" s="361"/>
      <c r="P27" s="361"/>
      <c r="Q27" s="361"/>
      <c r="R27" s="361"/>
      <c r="S27" s="361"/>
      <c r="T27" s="361"/>
      <c r="U27" s="360"/>
      <c r="V27" s="360"/>
    </row>
    <row r="28" spans="1:22" ht="19.2" hidden="1">
      <c r="A28" s="1186"/>
      <c r="B28" s="1136" t="s">
        <v>273</v>
      </c>
      <c r="C28" s="1136" t="s">
        <v>223</v>
      </c>
      <c r="D28" s="19" t="s">
        <v>274</v>
      </c>
      <c r="E28" s="19">
        <v>5</v>
      </c>
      <c r="F28" s="1136" t="s">
        <v>79</v>
      </c>
      <c r="G28" s="1136" t="s">
        <v>272</v>
      </c>
      <c r="H28" s="1136" t="s">
        <v>276</v>
      </c>
      <c r="I28" s="1136"/>
      <c r="J28" s="349"/>
      <c r="K28" s="349"/>
      <c r="L28" s="350"/>
      <c r="M28" s="350"/>
      <c r="N28" s="350"/>
      <c r="O28" s="350"/>
      <c r="P28" s="350"/>
      <c r="Q28" s="350"/>
      <c r="R28" s="350"/>
      <c r="S28" s="350"/>
      <c r="T28" s="350"/>
      <c r="U28" s="349"/>
      <c r="V28" s="349"/>
    </row>
    <row r="29" spans="1:22" ht="29.4" hidden="1" thickBot="1">
      <c r="A29" s="1186"/>
      <c r="B29" s="1137"/>
      <c r="C29" s="1137"/>
      <c r="D29" s="18" t="s">
        <v>275</v>
      </c>
      <c r="E29" s="19">
        <v>10</v>
      </c>
      <c r="F29" s="1137"/>
      <c r="G29" s="1137"/>
      <c r="H29" s="1137"/>
      <c r="I29" s="1137"/>
      <c r="J29" s="358"/>
      <c r="K29" s="358"/>
      <c r="L29" s="359"/>
      <c r="M29" s="359"/>
      <c r="N29" s="359"/>
      <c r="O29" s="359"/>
      <c r="P29" s="359"/>
      <c r="Q29" s="359"/>
      <c r="R29" s="359"/>
      <c r="S29" s="359"/>
      <c r="T29" s="359"/>
      <c r="U29" s="358"/>
      <c r="V29" s="358"/>
    </row>
    <row r="30" spans="1:22">
      <c r="A30" s="1186"/>
      <c r="B30" s="1136" t="s">
        <v>277</v>
      </c>
      <c r="C30" s="1136" t="s">
        <v>223</v>
      </c>
      <c r="D30" s="1136" t="s">
        <v>278</v>
      </c>
      <c r="E30" s="1136">
        <v>3</v>
      </c>
      <c r="F30" s="1136" t="s">
        <v>279</v>
      </c>
      <c r="G30" s="1136" t="s">
        <v>280</v>
      </c>
      <c r="H30" s="19" t="s">
        <v>281</v>
      </c>
      <c r="I30" s="1136" t="s">
        <v>708</v>
      </c>
      <c r="J30" s="1153"/>
      <c r="K30" s="1153"/>
      <c r="L30" s="1151">
        <v>1</v>
      </c>
      <c r="M30" s="1151"/>
      <c r="N30" s="1151"/>
      <c r="O30" s="1151"/>
      <c r="P30" s="1151">
        <v>1</v>
      </c>
      <c r="Q30" s="1151"/>
      <c r="R30" s="1151"/>
      <c r="S30" s="1151"/>
      <c r="T30" s="1151">
        <v>1</v>
      </c>
      <c r="U30" s="1153"/>
      <c r="V30" s="1153"/>
    </row>
    <row r="31" spans="1:22" ht="29.4" thickBot="1">
      <c r="A31" s="1186"/>
      <c r="B31" s="1137"/>
      <c r="C31" s="1137"/>
      <c r="D31" s="1137"/>
      <c r="E31" s="1137"/>
      <c r="F31" s="1137"/>
      <c r="G31" s="1137"/>
      <c r="H31" s="18" t="s">
        <v>282</v>
      </c>
      <c r="I31" s="1137"/>
      <c r="J31" s="1154"/>
      <c r="K31" s="1154"/>
      <c r="L31" s="1152"/>
      <c r="M31" s="1152"/>
      <c r="N31" s="1152"/>
      <c r="O31" s="1152"/>
      <c r="P31" s="1152"/>
      <c r="Q31" s="1152"/>
      <c r="R31" s="1152"/>
      <c r="S31" s="1152"/>
      <c r="T31" s="1152"/>
      <c r="U31" s="1154"/>
      <c r="V31" s="1154"/>
    </row>
    <row r="32" spans="1:22" hidden="1">
      <c r="A32" s="1186"/>
      <c r="B32" s="1136" t="s">
        <v>283</v>
      </c>
      <c r="C32" s="1136" t="s">
        <v>223</v>
      </c>
      <c r="D32" s="1136" t="s">
        <v>284</v>
      </c>
      <c r="E32" s="1136">
        <v>1</v>
      </c>
      <c r="F32" s="1136" t="s">
        <v>79</v>
      </c>
      <c r="G32" s="1136" t="s">
        <v>285</v>
      </c>
      <c r="H32" s="19" t="s">
        <v>286</v>
      </c>
      <c r="I32" s="1136"/>
      <c r="J32" s="1153"/>
      <c r="K32" s="1153"/>
      <c r="L32" s="1151"/>
      <c r="M32" s="1151"/>
      <c r="N32" s="1151"/>
      <c r="O32" s="1151"/>
      <c r="P32" s="1151"/>
      <c r="Q32" s="1151"/>
      <c r="R32" s="1151"/>
      <c r="S32" s="1151"/>
      <c r="T32" s="1151"/>
      <c r="U32" s="1153"/>
      <c r="V32" s="1153"/>
    </row>
    <row r="33" spans="1:22" ht="28.8" hidden="1">
      <c r="A33" s="1186"/>
      <c r="B33" s="1135"/>
      <c r="C33" s="1135"/>
      <c r="D33" s="1135"/>
      <c r="E33" s="1135"/>
      <c r="F33" s="1135"/>
      <c r="G33" s="1135"/>
      <c r="H33" s="19" t="s">
        <v>287</v>
      </c>
      <c r="I33" s="1135"/>
      <c r="J33" s="1155"/>
      <c r="K33" s="1155"/>
      <c r="L33" s="1156"/>
      <c r="M33" s="1156"/>
      <c r="N33" s="1156"/>
      <c r="O33" s="1156"/>
      <c r="P33" s="1156"/>
      <c r="Q33" s="1156"/>
      <c r="R33" s="1156"/>
      <c r="S33" s="1156"/>
      <c r="T33" s="1156"/>
      <c r="U33" s="1155"/>
      <c r="V33" s="1155"/>
    </row>
    <row r="34" spans="1:22" ht="58.2" hidden="1" thickBot="1">
      <c r="A34" s="1187"/>
      <c r="B34" s="1137"/>
      <c r="C34" s="1137"/>
      <c r="D34" s="1137"/>
      <c r="E34" s="1137"/>
      <c r="F34" s="1137"/>
      <c r="G34" s="1137"/>
      <c r="H34" s="18" t="s">
        <v>288</v>
      </c>
      <c r="I34" s="1137"/>
      <c r="J34" s="1154"/>
      <c r="K34" s="1154"/>
      <c r="L34" s="1152"/>
      <c r="M34" s="1152"/>
      <c r="N34" s="1152"/>
      <c r="O34" s="1152"/>
      <c r="P34" s="1152"/>
      <c r="Q34" s="1152"/>
      <c r="R34" s="1152"/>
      <c r="S34" s="1152"/>
      <c r="T34" s="1152"/>
      <c r="U34" s="1154"/>
      <c r="V34" s="1154"/>
    </row>
    <row r="35" spans="1:22" ht="19.2">
      <c r="A35" s="1185" t="s">
        <v>289</v>
      </c>
      <c r="B35" s="1136" t="s">
        <v>290</v>
      </c>
      <c r="C35" s="1136" t="s">
        <v>223</v>
      </c>
      <c r="D35" s="19" t="s">
        <v>291</v>
      </c>
      <c r="E35" s="19">
        <v>200</v>
      </c>
      <c r="F35" s="1136" t="s">
        <v>67</v>
      </c>
      <c r="G35" s="1136" t="s">
        <v>293</v>
      </c>
      <c r="H35" s="19" t="s">
        <v>286</v>
      </c>
      <c r="I35" s="1136" t="s">
        <v>708</v>
      </c>
      <c r="J35" s="349"/>
      <c r="K35" s="349"/>
      <c r="L35" s="350">
        <v>22</v>
      </c>
      <c r="M35" s="350">
        <f>L35</f>
        <v>22</v>
      </c>
      <c r="N35" s="350">
        <f t="shared" ref="N35:S35" si="3">M35</f>
        <v>22</v>
      </c>
      <c r="O35" s="350">
        <f t="shared" si="3"/>
        <v>22</v>
      </c>
      <c r="P35" s="350">
        <f t="shared" si="3"/>
        <v>22</v>
      </c>
      <c r="Q35" s="350">
        <f t="shared" si="3"/>
        <v>22</v>
      </c>
      <c r="R35" s="350">
        <f t="shared" si="3"/>
        <v>22</v>
      </c>
      <c r="S35" s="350">
        <f t="shared" si="3"/>
        <v>22</v>
      </c>
      <c r="T35" s="350">
        <f>200-SUM(L35:S35)</f>
        <v>24</v>
      </c>
      <c r="U35" s="349"/>
      <c r="V35" s="349"/>
    </row>
    <row r="36" spans="1:22" ht="28.8">
      <c r="A36" s="1186"/>
      <c r="B36" s="1135"/>
      <c r="C36" s="1135"/>
      <c r="D36" s="19" t="s">
        <v>292</v>
      </c>
      <c r="E36" s="19">
        <v>100</v>
      </c>
      <c r="F36" s="1135"/>
      <c r="G36" s="1135"/>
      <c r="H36" s="19" t="s">
        <v>252</v>
      </c>
      <c r="I36" s="1135"/>
      <c r="J36" s="349"/>
      <c r="K36" s="349"/>
      <c r="L36" s="350">
        <v>11</v>
      </c>
      <c r="M36" s="350">
        <f>L36</f>
        <v>11</v>
      </c>
      <c r="N36" s="350">
        <f t="shared" ref="N36:S36" si="4">M36</f>
        <v>11</v>
      </c>
      <c r="O36" s="350">
        <f t="shared" si="4"/>
        <v>11</v>
      </c>
      <c r="P36" s="350">
        <f t="shared" si="4"/>
        <v>11</v>
      </c>
      <c r="Q36" s="350">
        <f t="shared" si="4"/>
        <v>11</v>
      </c>
      <c r="R36" s="350">
        <f t="shared" si="4"/>
        <v>11</v>
      </c>
      <c r="S36" s="350">
        <f t="shared" si="4"/>
        <v>11</v>
      </c>
      <c r="T36" s="350">
        <f>100-SUM(L36:S36)</f>
        <v>12</v>
      </c>
      <c r="U36" s="349"/>
      <c r="V36" s="349"/>
    </row>
    <row r="37" spans="1:22" ht="72" thickBot="1">
      <c r="A37" s="1186"/>
      <c r="B37" s="1137"/>
      <c r="C37" s="1137"/>
      <c r="D37" s="20"/>
      <c r="E37" s="20"/>
      <c r="F37" s="1137"/>
      <c r="G37" s="1137"/>
      <c r="H37" s="18" t="s">
        <v>294</v>
      </c>
      <c r="I37" s="1137"/>
      <c r="J37" s="360"/>
      <c r="K37" s="360"/>
      <c r="L37" s="361"/>
      <c r="M37" s="361"/>
      <c r="N37" s="361"/>
      <c r="O37" s="361"/>
      <c r="P37" s="361"/>
      <c r="Q37" s="361"/>
      <c r="R37" s="361"/>
      <c r="S37" s="361"/>
      <c r="T37" s="361"/>
      <c r="U37" s="360"/>
      <c r="V37" s="360"/>
    </row>
    <row r="38" spans="1:22">
      <c r="A38" s="1186"/>
      <c r="B38" s="1136" t="s">
        <v>295</v>
      </c>
      <c r="C38" s="1136" t="s">
        <v>223</v>
      </c>
      <c r="D38" s="1136" t="s">
        <v>296</v>
      </c>
      <c r="E38" s="1136">
        <v>823</v>
      </c>
      <c r="F38" s="1136" t="s">
        <v>297</v>
      </c>
      <c r="G38" s="1136" t="s">
        <v>298</v>
      </c>
      <c r="H38" s="19" t="s">
        <v>281</v>
      </c>
      <c r="I38" s="1136" t="s">
        <v>708</v>
      </c>
      <c r="J38" s="1153"/>
      <c r="K38" s="1153"/>
      <c r="L38" s="1151">
        <v>91</v>
      </c>
      <c r="M38" s="1151">
        <f>L38</f>
        <v>91</v>
      </c>
      <c r="N38" s="1151">
        <f t="shared" ref="N38:S38" si="5">M38</f>
        <v>91</v>
      </c>
      <c r="O38" s="1151">
        <f t="shared" si="5"/>
        <v>91</v>
      </c>
      <c r="P38" s="1151">
        <f t="shared" si="5"/>
        <v>91</v>
      </c>
      <c r="Q38" s="1151">
        <f t="shared" si="5"/>
        <v>91</v>
      </c>
      <c r="R38" s="1151">
        <f t="shared" si="5"/>
        <v>91</v>
      </c>
      <c r="S38" s="1151">
        <f t="shared" si="5"/>
        <v>91</v>
      </c>
      <c r="T38" s="1151">
        <f>823-SUM(L38:S40)</f>
        <v>95</v>
      </c>
      <c r="U38" s="1153"/>
      <c r="V38" s="1153"/>
    </row>
    <row r="39" spans="1:22" ht="28.8">
      <c r="A39" s="1186"/>
      <c r="B39" s="1135"/>
      <c r="C39" s="1135"/>
      <c r="D39" s="1135"/>
      <c r="E39" s="1135"/>
      <c r="F39" s="1135"/>
      <c r="G39" s="1135"/>
      <c r="H39" s="19" t="s">
        <v>252</v>
      </c>
      <c r="I39" s="1135"/>
      <c r="J39" s="1155"/>
      <c r="K39" s="1155"/>
      <c r="L39" s="1156"/>
      <c r="M39" s="1156"/>
      <c r="N39" s="1156"/>
      <c r="O39" s="1156"/>
      <c r="P39" s="1156"/>
      <c r="Q39" s="1156"/>
      <c r="R39" s="1156"/>
      <c r="S39" s="1156"/>
      <c r="T39" s="1156"/>
      <c r="U39" s="1155"/>
      <c r="V39" s="1155"/>
    </row>
    <row r="40" spans="1:22" ht="58.2" thickBot="1">
      <c r="A40" s="1186"/>
      <c r="B40" s="1137"/>
      <c r="C40" s="1137"/>
      <c r="D40" s="1137"/>
      <c r="E40" s="1137"/>
      <c r="F40" s="1137"/>
      <c r="G40" s="1137"/>
      <c r="H40" s="18" t="s">
        <v>288</v>
      </c>
      <c r="I40" s="1137"/>
      <c r="J40" s="1154"/>
      <c r="K40" s="1154"/>
      <c r="L40" s="1152"/>
      <c r="M40" s="1152"/>
      <c r="N40" s="1152"/>
      <c r="O40" s="1152"/>
      <c r="P40" s="1152"/>
      <c r="Q40" s="1152"/>
      <c r="R40" s="1152"/>
      <c r="S40" s="1152"/>
      <c r="T40" s="1152"/>
      <c r="U40" s="1154"/>
      <c r="V40" s="1154"/>
    </row>
    <row r="41" spans="1:22">
      <c r="A41" s="1186"/>
      <c r="B41" s="1136" t="s">
        <v>299</v>
      </c>
      <c r="C41" s="1136" t="s">
        <v>300</v>
      </c>
      <c r="D41" s="1136" t="s">
        <v>301</v>
      </c>
      <c r="E41" s="1136">
        <v>6</v>
      </c>
      <c r="F41" s="1136" t="s">
        <v>297</v>
      </c>
      <c r="G41" s="1136" t="s">
        <v>302</v>
      </c>
      <c r="H41" s="19" t="s">
        <v>303</v>
      </c>
      <c r="I41" s="1136" t="s">
        <v>708</v>
      </c>
      <c r="J41" s="1153"/>
      <c r="K41" s="1153"/>
      <c r="L41" s="1151">
        <v>2</v>
      </c>
      <c r="M41" s="1151">
        <v>2</v>
      </c>
      <c r="N41" s="1151">
        <v>2</v>
      </c>
      <c r="O41" s="1153"/>
      <c r="P41" s="1153"/>
      <c r="Q41" s="1153"/>
      <c r="R41" s="1153"/>
      <c r="S41" s="1153"/>
      <c r="T41" s="1153"/>
      <c r="U41" s="1153"/>
      <c r="V41" s="1153"/>
    </row>
    <row r="42" spans="1:22" ht="28.8">
      <c r="A42" s="1186"/>
      <c r="B42" s="1135"/>
      <c r="C42" s="1135"/>
      <c r="D42" s="1135"/>
      <c r="E42" s="1135"/>
      <c r="F42" s="1135"/>
      <c r="G42" s="1135"/>
      <c r="H42" s="19" t="s">
        <v>252</v>
      </c>
      <c r="I42" s="1135"/>
      <c r="J42" s="1155"/>
      <c r="K42" s="1155"/>
      <c r="L42" s="1156"/>
      <c r="M42" s="1156"/>
      <c r="N42" s="1156"/>
      <c r="O42" s="1155"/>
      <c r="P42" s="1155"/>
      <c r="Q42" s="1155"/>
      <c r="R42" s="1155"/>
      <c r="S42" s="1155"/>
      <c r="T42" s="1155"/>
      <c r="U42" s="1155"/>
      <c r="V42" s="1155"/>
    </row>
    <row r="43" spans="1:22" ht="58.2" thickBot="1">
      <c r="A43" s="1186"/>
      <c r="B43" s="1137"/>
      <c r="C43" s="1137"/>
      <c r="D43" s="1137"/>
      <c r="E43" s="1137"/>
      <c r="F43" s="1137"/>
      <c r="G43" s="1137"/>
      <c r="H43" s="18" t="s">
        <v>304</v>
      </c>
      <c r="I43" s="1137"/>
      <c r="J43" s="1154"/>
      <c r="K43" s="1154"/>
      <c r="L43" s="1152"/>
      <c r="M43" s="1152"/>
      <c r="N43" s="1152"/>
      <c r="O43" s="1154"/>
      <c r="P43" s="1154"/>
      <c r="Q43" s="1154"/>
      <c r="R43" s="1154"/>
      <c r="S43" s="1154"/>
      <c r="T43" s="1154"/>
      <c r="U43" s="1154"/>
      <c r="V43" s="1154"/>
    </row>
    <row r="44" spans="1:22" ht="48.6" hidden="1" thickBot="1">
      <c r="A44" s="1186"/>
      <c r="B44" s="18" t="s">
        <v>305</v>
      </c>
      <c r="C44" s="18" t="s">
        <v>300</v>
      </c>
      <c r="D44" s="18" t="s">
        <v>306</v>
      </c>
      <c r="E44" s="18">
        <v>30</v>
      </c>
      <c r="F44" s="18" t="s">
        <v>79</v>
      </c>
      <c r="G44" s="18" t="s">
        <v>272</v>
      </c>
      <c r="H44" s="18" t="s">
        <v>282</v>
      </c>
      <c r="I44" s="18"/>
      <c r="J44" s="358"/>
      <c r="K44" s="358"/>
      <c r="L44" s="359">
        <v>3</v>
      </c>
      <c r="M44" s="359">
        <f>L44</f>
        <v>3</v>
      </c>
      <c r="N44" s="359">
        <f t="shared" ref="N44:S44" si="6">M44</f>
        <v>3</v>
      </c>
      <c r="O44" s="359">
        <f t="shared" si="6"/>
        <v>3</v>
      </c>
      <c r="P44" s="359">
        <f t="shared" si="6"/>
        <v>3</v>
      </c>
      <c r="Q44" s="359">
        <f t="shared" si="6"/>
        <v>3</v>
      </c>
      <c r="R44" s="359">
        <f t="shared" si="6"/>
        <v>3</v>
      </c>
      <c r="S44" s="359">
        <f t="shared" si="6"/>
        <v>3</v>
      </c>
      <c r="T44" s="359">
        <f>30-SUM(L44:S44)</f>
        <v>6</v>
      </c>
      <c r="U44" s="358"/>
      <c r="V44" s="358"/>
    </row>
    <row r="45" spans="1:22" ht="58.2" thickBot="1">
      <c r="A45" s="1187"/>
      <c r="B45" s="18" t="s">
        <v>307</v>
      </c>
      <c r="C45" s="18" t="s">
        <v>308</v>
      </c>
      <c r="D45" s="18" t="s">
        <v>309</v>
      </c>
      <c r="E45" s="18">
        <v>6</v>
      </c>
      <c r="F45" s="18" t="s">
        <v>297</v>
      </c>
      <c r="G45" s="18" t="s">
        <v>310</v>
      </c>
      <c r="H45" s="18" t="s">
        <v>311</v>
      </c>
      <c r="I45" s="18" t="s">
        <v>708</v>
      </c>
      <c r="J45" s="358"/>
      <c r="K45" s="358"/>
      <c r="L45" s="359">
        <v>1</v>
      </c>
      <c r="M45" s="359">
        <v>2</v>
      </c>
      <c r="N45" s="359">
        <v>1</v>
      </c>
      <c r="O45" s="359">
        <v>2</v>
      </c>
      <c r="P45" s="358"/>
      <c r="Q45" s="358"/>
      <c r="R45" s="358"/>
      <c r="S45" s="358"/>
      <c r="T45" s="358"/>
      <c r="U45" s="358"/>
      <c r="V45" s="358"/>
    </row>
  </sheetData>
  <autoFilter ref="C1:V45" xr:uid="{C4F5E066-525F-4CD0-B72D-09522D84CFCC}"/>
  <mergeCells count="157">
    <mergeCell ref="A2:A12"/>
    <mergeCell ref="A18:A24"/>
    <mergeCell ref="B19:B21"/>
    <mergeCell ref="C19:C21"/>
    <mergeCell ref="D19:D21"/>
    <mergeCell ref="F19:F21"/>
    <mergeCell ref="G19:G21"/>
    <mergeCell ref="B22:B24"/>
    <mergeCell ref="C22:C24"/>
    <mergeCell ref="D22:D24"/>
    <mergeCell ref="E22:E24"/>
    <mergeCell ref="F22:F24"/>
    <mergeCell ref="G22:G24"/>
    <mergeCell ref="A13:A17"/>
    <mergeCell ref="B14:B17"/>
    <mergeCell ref="C14:C17"/>
    <mergeCell ref="F14:F17"/>
    <mergeCell ref="B3:B10"/>
    <mergeCell ref="C3:C10"/>
    <mergeCell ref="F3:F10"/>
    <mergeCell ref="G3:G10"/>
    <mergeCell ref="B11:B12"/>
    <mergeCell ref="C11:C12"/>
    <mergeCell ref="F11:F12"/>
    <mergeCell ref="B30:B31"/>
    <mergeCell ref="C30:C31"/>
    <mergeCell ref="D30:D31"/>
    <mergeCell ref="E30:E31"/>
    <mergeCell ref="F30:F31"/>
    <mergeCell ref="G30:G31"/>
    <mergeCell ref="A25:A34"/>
    <mergeCell ref="B25:B27"/>
    <mergeCell ref="C25:C27"/>
    <mergeCell ref="F25:F27"/>
    <mergeCell ref="G25:G27"/>
    <mergeCell ref="B28:B29"/>
    <mergeCell ref="C28:C29"/>
    <mergeCell ref="F28:F29"/>
    <mergeCell ref="G28:G29"/>
    <mergeCell ref="B41:B43"/>
    <mergeCell ref="C41:C43"/>
    <mergeCell ref="D41:D43"/>
    <mergeCell ref="E41:E43"/>
    <mergeCell ref="G32:G34"/>
    <mergeCell ref="A35:A45"/>
    <mergeCell ref="B35:B37"/>
    <mergeCell ref="C35:C37"/>
    <mergeCell ref="F35:F37"/>
    <mergeCell ref="G35:G37"/>
    <mergeCell ref="B38:B40"/>
    <mergeCell ref="C38:C40"/>
    <mergeCell ref="B32:B34"/>
    <mergeCell ref="C32:C34"/>
    <mergeCell ref="D32:D34"/>
    <mergeCell ref="E32:E34"/>
    <mergeCell ref="F32:F34"/>
    <mergeCell ref="I3:I10"/>
    <mergeCell ref="I11:I12"/>
    <mergeCell ref="I14:I17"/>
    <mergeCell ref="I19:I21"/>
    <mergeCell ref="I22:I24"/>
    <mergeCell ref="G41:G43"/>
    <mergeCell ref="D38:D40"/>
    <mergeCell ref="E38:E40"/>
    <mergeCell ref="F38:F40"/>
    <mergeCell ref="G38:G40"/>
    <mergeCell ref="F41:F43"/>
    <mergeCell ref="H28:H29"/>
    <mergeCell ref="E19:E21"/>
    <mergeCell ref="G14:G17"/>
    <mergeCell ref="H2:H12"/>
    <mergeCell ref="G11:G12"/>
    <mergeCell ref="I38:I40"/>
    <mergeCell ref="I41:I43"/>
    <mergeCell ref="J19:J21"/>
    <mergeCell ref="K19:K21"/>
    <mergeCell ref="J30:J31"/>
    <mergeCell ref="K30:K31"/>
    <mergeCell ref="J38:J40"/>
    <mergeCell ref="K38:K40"/>
    <mergeCell ref="I25:I27"/>
    <mergeCell ref="I28:I29"/>
    <mergeCell ref="I30:I31"/>
    <mergeCell ref="I32:I34"/>
    <mergeCell ref="I35:I37"/>
    <mergeCell ref="V19:V21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Q19:Q21"/>
    <mergeCell ref="R19:R21"/>
    <mergeCell ref="S19:S21"/>
    <mergeCell ref="T19:T21"/>
    <mergeCell ref="U19:U21"/>
    <mergeCell ref="L19:L21"/>
    <mergeCell ref="M19:M21"/>
    <mergeCell ref="N19:N21"/>
    <mergeCell ref="O19:O21"/>
    <mergeCell ref="P19:P21"/>
    <mergeCell ref="V30:V31"/>
    <mergeCell ref="J32:J34"/>
    <mergeCell ref="K32:K34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Q30:Q31"/>
    <mergeCell ref="R30:R31"/>
    <mergeCell ref="S30:S31"/>
    <mergeCell ref="T30:T31"/>
    <mergeCell ref="U30:U31"/>
    <mergeCell ref="L30:L31"/>
    <mergeCell ref="M30:M31"/>
    <mergeCell ref="N30:N31"/>
    <mergeCell ref="O30:O31"/>
    <mergeCell ref="P30:P31"/>
    <mergeCell ref="V38:V40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V41:V43"/>
    <mergeCell ref="Q38:Q40"/>
    <mergeCell ref="R38:R40"/>
    <mergeCell ref="S38:S40"/>
    <mergeCell ref="T38:T40"/>
    <mergeCell ref="U38:U40"/>
    <mergeCell ref="L38:L40"/>
    <mergeCell ref="M38:M40"/>
    <mergeCell ref="N38:N40"/>
    <mergeCell ref="O38:O40"/>
    <mergeCell ref="P38:P40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9D90-D30A-4D07-A743-A7F5BCBB5FEC}">
  <sheetPr>
    <pageSetUpPr fitToPage="1"/>
  </sheetPr>
  <dimension ref="A1:H36"/>
  <sheetViews>
    <sheetView workbookViewId="0">
      <selection activeCell="F8" sqref="F8"/>
    </sheetView>
  </sheetViews>
  <sheetFormatPr defaultRowHeight="14.4"/>
  <cols>
    <col min="1" max="1" width="26.88671875" customWidth="1"/>
    <col min="4" max="4" width="17" customWidth="1"/>
    <col min="7" max="7" width="11.44140625" bestFit="1" customWidth="1"/>
    <col min="8" max="8" width="20.88671875" customWidth="1"/>
  </cols>
  <sheetData>
    <row r="1" spans="1:8" ht="48.6" thickBot="1">
      <c r="A1" s="4" t="s">
        <v>127</v>
      </c>
      <c r="B1" s="5" t="s">
        <v>128</v>
      </c>
      <c r="C1" s="5" t="s">
        <v>129</v>
      </c>
      <c r="D1" s="5" t="s">
        <v>130</v>
      </c>
      <c r="E1" s="5" t="s">
        <v>131</v>
      </c>
      <c r="F1" s="6" t="s">
        <v>132</v>
      </c>
      <c r="G1" s="6" t="s">
        <v>133</v>
      </c>
      <c r="H1" s="5" t="s">
        <v>134</v>
      </c>
    </row>
    <row r="2" spans="1:8" ht="21" thickTop="1">
      <c r="A2" s="1188" t="s">
        <v>135</v>
      </c>
      <c r="B2" s="1195" t="s">
        <v>136</v>
      </c>
      <c r="C2" s="1195" t="s">
        <v>67</v>
      </c>
      <c r="D2" s="8" t="s">
        <v>137</v>
      </c>
      <c r="E2" s="1196" t="s">
        <v>140</v>
      </c>
      <c r="F2" s="10" t="s">
        <v>141</v>
      </c>
      <c r="G2" s="1197">
        <v>293298825.39999998</v>
      </c>
      <c r="H2" s="7">
        <v>-3114</v>
      </c>
    </row>
    <row r="3" spans="1:8" ht="28.8">
      <c r="A3" s="1186"/>
      <c r="B3" s="1190"/>
      <c r="C3" s="1190"/>
      <c r="D3" s="8" t="s">
        <v>138</v>
      </c>
      <c r="E3" s="1193"/>
      <c r="F3" s="10" t="s">
        <v>142</v>
      </c>
      <c r="G3" s="1155"/>
      <c r="H3" s="7" t="s">
        <v>144</v>
      </c>
    </row>
    <row r="4" spans="1:8" ht="31.2" thickBot="1">
      <c r="A4" s="1187"/>
      <c r="B4" s="1190"/>
      <c r="C4" s="1190"/>
      <c r="D4" s="9" t="s">
        <v>139</v>
      </c>
      <c r="E4" s="1194"/>
      <c r="F4" s="11" t="s">
        <v>143</v>
      </c>
      <c r="G4" s="1154"/>
      <c r="H4" s="12"/>
    </row>
    <row r="5" spans="1:8" ht="20.399999999999999">
      <c r="A5" s="1185" t="s">
        <v>145</v>
      </c>
      <c r="B5" s="1190"/>
      <c r="C5" s="1190"/>
      <c r="D5" s="8" t="s">
        <v>146</v>
      </c>
      <c r="E5" s="1192" t="s">
        <v>152</v>
      </c>
      <c r="F5" s="10" t="s">
        <v>153</v>
      </c>
      <c r="G5" s="1153">
        <v>581651901.25</v>
      </c>
      <c r="H5" s="7">
        <v>-3114</v>
      </c>
    </row>
    <row r="6" spans="1:8" ht="48">
      <c r="A6" s="1186"/>
      <c r="B6" s="1190"/>
      <c r="C6" s="1190"/>
      <c r="D6" s="8" t="s">
        <v>147</v>
      </c>
      <c r="E6" s="1193"/>
      <c r="F6" s="10" t="s">
        <v>154</v>
      </c>
      <c r="G6" s="1155"/>
      <c r="H6" s="7" t="s">
        <v>159</v>
      </c>
    </row>
    <row r="7" spans="1:8" ht="20.399999999999999">
      <c r="A7" s="1186"/>
      <c r="B7" s="1190"/>
      <c r="C7" s="1190"/>
      <c r="D7" s="8" t="s">
        <v>148</v>
      </c>
      <c r="E7" s="1193"/>
      <c r="F7" s="10" t="s">
        <v>155</v>
      </c>
      <c r="G7" s="1155"/>
      <c r="H7" s="13"/>
    </row>
    <row r="8" spans="1:8" ht="20.399999999999999">
      <c r="A8" s="1186"/>
      <c r="B8" s="1190"/>
      <c r="C8" s="1190"/>
      <c r="D8" s="8" t="s">
        <v>149</v>
      </c>
      <c r="E8" s="1193"/>
      <c r="F8" s="10" t="s">
        <v>156</v>
      </c>
      <c r="G8" s="1155"/>
      <c r="H8" s="13"/>
    </row>
    <row r="9" spans="1:8" ht="20.399999999999999">
      <c r="A9" s="1186"/>
      <c r="B9" s="1190"/>
      <c r="C9" s="1190"/>
      <c r="D9" s="8" t="s">
        <v>150</v>
      </c>
      <c r="E9" s="1193"/>
      <c r="F9" s="10" t="s">
        <v>157</v>
      </c>
      <c r="G9" s="1155"/>
      <c r="H9" s="13"/>
    </row>
    <row r="10" spans="1:8" ht="31.2" thickBot="1">
      <c r="A10" s="1187"/>
      <c r="B10" s="1190"/>
      <c r="C10" s="1190"/>
      <c r="D10" s="9" t="s">
        <v>151</v>
      </c>
      <c r="E10" s="1194"/>
      <c r="F10" s="11" t="s">
        <v>158</v>
      </c>
      <c r="G10" s="1154"/>
      <c r="H10" s="12"/>
    </row>
    <row r="11" spans="1:8" ht="20.399999999999999">
      <c r="A11" s="1185" t="s">
        <v>160</v>
      </c>
      <c r="B11" s="1190"/>
      <c r="C11" s="1190"/>
      <c r="D11" s="8" t="s">
        <v>146</v>
      </c>
      <c r="E11" s="1192" t="s">
        <v>162</v>
      </c>
      <c r="F11" s="10" t="s">
        <v>163</v>
      </c>
      <c r="G11" s="1153">
        <v>229703497.25</v>
      </c>
      <c r="H11" s="14">
        <v>-3114</v>
      </c>
    </row>
    <row r="12" spans="1:8" ht="30.6">
      <c r="A12" s="1186"/>
      <c r="B12" s="1190"/>
      <c r="C12" s="1190"/>
      <c r="D12" s="8" t="s">
        <v>147</v>
      </c>
      <c r="E12" s="1193"/>
      <c r="F12" s="10" t="s">
        <v>154</v>
      </c>
      <c r="G12" s="1155"/>
      <c r="H12" s="7" t="s">
        <v>166</v>
      </c>
    </row>
    <row r="13" spans="1:8" ht="20.399999999999999">
      <c r="A13" s="1186"/>
      <c r="B13" s="1190"/>
      <c r="C13" s="1190"/>
      <c r="D13" s="8" t="s">
        <v>148</v>
      </c>
      <c r="E13" s="1193"/>
      <c r="F13" s="10" t="s">
        <v>155</v>
      </c>
      <c r="G13" s="1155"/>
      <c r="H13" s="13"/>
    </row>
    <row r="14" spans="1:8" ht="20.399999999999999">
      <c r="A14" s="1186"/>
      <c r="B14" s="1190"/>
      <c r="C14" s="1190"/>
      <c r="D14" s="8" t="s">
        <v>161</v>
      </c>
      <c r="E14" s="1193"/>
      <c r="F14" s="10" t="s">
        <v>164</v>
      </c>
      <c r="G14" s="1155"/>
      <c r="H14" s="13"/>
    </row>
    <row r="15" spans="1:8" ht="20.399999999999999">
      <c r="A15" s="1186"/>
      <c r="B15" s="1190"/>
      <c r="C15" s="1190"/>
      <c r="D15" s="8" t="s">
        <v>150</v>
      </c>
      <c r="E15" s="1193"/>
      <c r="F15" s="10" t="s">
        <v>165</v>
      </c>
      <c r="G15" s="1155"/>
      <c r="H15" s="13"/>
    </row>
    <row r="16" spans="1:8" ht="31.2" thickBot="1">
      <c r="A16" s="1187"/>
      <c r="B16" s="1190"/>
      <c r="C16" s="1190"/>
      <c r="D16" s="9" t="s">
        <v>151</v>
      </c>
      <c r="E16" s="1194"/>
      <c r="F16" s="11" t="s">
        <v>158</v>
      </c>
      <c r="G16" s="1154"/>
      <c r="H16" s="12"/>
    </row>
    <row r="17" spans="1:8" ht="20.399999999999999">
      <c r="A17" s="1185" t="s">
        <v>167</v>
      </c>
      <c r="B17" s="1190"/>
      <c r="C17" s="1190"/>
      <c r="D17" s="8" t="s">
        <v>168</v>
      </c>
      <c r="E17" s="1192" t="s">
        <v>170</v>
      </c>
      <c r="F17" s="10" t="s">
        <v>171</v>
      </c>
      <c r="G17" s="1153">
        <v>72218591.150000006</v>
      </c>
      <c r="H17" s="7">
        <v>-3114</v>
      </c>
    </row>
    <row r="18" spans="1:8" ht="48.6" thickBot="1">
      <c r="A18" s="1187"/>
      <c r="B18" s="1190"/>
      <c r="C18" s="1190"/>
      <c r="D18" s="9" t="s">
        <v>169</v>
      </c>
      <c r="E18" s="1194"/>
      <c r="F18" s="11" t="s">
        <v>172</v>
      </c>
      <c r="G18" s="1154"/>
      <c r="H18" s="15" t="s">
        <v>159</v>
      </c>
    </row>
    <row r="19" spans="1:8" ht="20.399999999999999">
      <c r="A19" s="1185" t="s">
        <v>173</v>
      </c>
      <c r="B19" s="1190"/>
      <c r="C19" s="1190"/>
      <c r="D19" s="8" t="s">
        <v>174</v>
      </c>
      <c r="E19" s="1192" t="s">
        <v>170</v>
      </c>
      <c r="F19" s="10" t="s">
        <v>178</v>
      </c>
      <c r="G19" s="1153">
        <v>69890601.409999996</v>
      </c>
      <c r="H19" s="7">
        <v>-3114</v>
      </c>
    </row>
    <row r="20" spans="1:8" ht="48">
      <c r="A20" s="1186"/>
      <c r="B20" s="1190"/>
      <c r="C20" s="1190"/>
      <c r="D20" s="8" t="s">
        <v>175</v>
      </c>
      <c r="E20" s="1193"/>
      <c r="F20" s="10" t="s">
        <v>179</v>
      </c>
      <c r="G20" s="1155"/>
      <c r="H20" s="7" t="s">
        <v>159</v>
      </c>
    </row>
    <row r="21" spans="1:8" ht="20.399999999999999">
      <c r="A21" s="1186"/>
      <c r="B21" s="1190"/>
      <c r="C21" s="1190"/>
      <c r="D21" s="8" t="s">
        <v>176</v>
      </c>
      <c r="E21" s="1193"/>
      <c r="F21" s="10" t="s">
        <v>180</v>
      </c>
      <c r="G21" s="1155"/>
      <c r="H21" s="13"/>
    </row>
    <row r="22" spans="1:8" ht="31.2" thickBot="1">
      <c r="A22" s="1187"/>
      <c r="B22" s="1191"/>
      <c r="C22" s="1191"/>
      <c r="D22" s="9" t="s">
        <v>177</v>
      </c>
      <c r="E22" s="1194"/>
      <c r="F22" s="11" t="s">
        <v>181</v>
      </c>
      <c r="G22" s="1154"/>
      <c r="H22" s="12"/>
    </row>
    <row r="23" spans="1:8" ht="20.399999999999999">
      <c r="A23" s="1185" t="s">
        <v>182</v>
      </c>
      <c r="B23" s="1189" t="s">
        <v>136</v>
      </c>
      <c r="C23" s="1189" t="s">
        <v>67</v>
      </c>
      <c r="D23" s="8" t="s">
        <v>183</v>
      </c>
      <c r="E23" s="1192" t="s">
        <v>185</v>
      </c>
      <c r="F23" s="10" t="s">
        <v>186</v>
      </c>
      <c r="G23" s="1153">
        <v>287755391.86000001</v>
      </c>
      <c r="H23" s="7">
        <v>-3114</v>
      </c>
    </row>
    <row r="24" spans="1:8" ht="48">
      <c r="A24" s="1186"/>
      <c r="B24" s="1190"/>
      <c r="C24" s="1190"/>
      <c r="D24" s="8" t="s">
        <v>138</v>
      </c>
      <c r="E24" s="1193"/>
      <c r="F24" s="10" t="s">
        <v>187</v>
      </c>
      <c r="G24" s="1155"/>
      <c r="H24" s="7" t="s">
        <v>159</v>
      </c>
    </row>
    <row r="25" spans="1:8" ht="31.2" thickBot="1">
      <c r="A25" s="1187"/>
      <c r="B25" s="1191"/>
      <c r="C25" s="1191"/>
      <c r="D25" s="9" t="s">
        <v>184</v>
      </c>
      <c r="E25" s="1194"/>
      <c r="F25" s="11" t="s">
        <v>188</v>
      </c>
      <c r="G25" s="1154"/>
      <c r="H25" s="12"/>
    </row>
    <row r="26" spans="1:8" ht="30.6">
      <c r="A26" s="1185" t="s">
        <v>189</v>
      </c>
      <c r="B26" s="1189" t="s">
        <v>136</v>
      </c>
      <c r="C26" s="1189" t="s">
        <v>67</v>
      </c>
      <c r="D26" s="8" t="s">
        <v>190</v>
      </c>
      <c r="E26" s="1192" t="s">
        <v>194</v>
      </c>
      <c r="F26" s="10" t="s">
        <v>195</v>
      </c>
      <c r="G26" s="1153">
        <v>729265079</v>
      </c>
      <c r="H26" s="7">
        <v>-3114</v>
      </c>
    </row>
    <row r="27" spans="1:8" ht="48">
      <c r="A27" s="1186"/>
      <c r="B27" s="1190"/>
      <c r="C27" s="1190"/>
      <c r="D27" s="8" t="s">
        <v>191</v>
      </c>
      <c r="E27" s="1193"/>
      <c r="F27" s="10" t="s">
        <v>196</v>
      </c>
      <c r="G27" s="1155"/>
      <c r="H27" s="7" t="s">
        <v>159</v>
      </c>
    </row>
    <row r="28" spans="1:8" ht="30.6">
      <c r="A28" s="1186"/>
      <c r="B28" s="1190"/>
      <c r="C28" s="1190"/>
      <c r="D28" s="8" t="s">
        <v>192</v>
      </c>
      <c r="E28" s="1193"/>
      <c r="F28" s="10" t="s">
        <v>197</v>
      </c>
      <c r="G28" s="1155"/>
      <c r="H28" s="13"/>
    </row>
    <row r="29" spans="1:8" ht="31.2" thickBot="1">
      <c r="A29" s="1187"/>
      <c r="B29" s="1191"/>
      <c r="C29" s="1191"/>
      <c r="D29" s="9" t="s">
        <v>193</v>
      </c>
      <c r="E29" s="1194"/>
      <c r="F29" s="11" t="s">
        <v>198</v>
      </c>
      <c r="G29" s="1154"/>
      <c r="H29" s="12"/>
    </row>
    <row r="30" spans="1:8" ht="30.6">
      <c r="A30" s="1185" t="s">
        <v>199</v>
      </c>
      <c r="B30" s="1189" t="s">
        <v>136</v>
      </c>
      <c r="C30" s="1189" t="s">
        <v>67</v>
      </c>
      <c r="D30" s="8" t="s">
        <v>190</v>
      </c>
      <c r="E30" s="1192" t="s">
        <v>200</v>
      </c>
      <c r="F30" s="10" t="s">
        <v>195</v>
      </c>
      <c r="G30" s="1153">
        <v>1600000000</v>
      </c>
      <c r="H30" s="14">
        <v>-3114</v>
      </c>
    </row>
    <row r="31" spans="1:8" ht="28.8">
      <c r="A31" s="1186"/>
      <c r="B31" s="1190"/>
      <c r="C31" s="1190"/>
      <c r="D31" s="8" t="s">
        <v>191</v>
      </c>
      <c r="E31" s="1193"/>
      <c r="F31" s="10" t="s">
        <v>201</v>
      </c>
      <c r="G31" s="1155"/>
      <c r="H31" s="7" t="s">
        <v>166</v>
      </c>
    </row>
    <row r="32" spans="1:8" ht="30.6">
      <c r="A32" s="1186"/>
      <c r="B32" s="1190"/>
      <c r="C32" s="1190"/>
      <c r="D32" s="8" t="s">
        <v>192</v>
      </c>
      <c r="E32" s="1193"/>
      <c r="F32" s="10" t="s">
        <v>202</v>
      </c>
      <c r="G32" s="1155"/>
      <c r="H32" s="13"/>
    </row>
    <row r="33" spans="1:8" ht="31.2" thickBot="1">
      <c r="A33" s="1187"/>
      <c r="B33" s="1191"/>
      <c r="C33" s="1191"/>
      <c r="D33" s="9" t="s">
        <v>193</v>
      </c>
      <c r="E33" s="1194"/>
      <c r="F33" s="11" t="s">
        <v>203</v>
      </c>
      <c r="G33" s="1154"/>
      <c r="H33" s="12"/>
    </row>
    <row r="34" spans="1:8" ht="20.399999999999999">
      <c r="A34" s="1185" t="s">
        <v>204</v>
      </c>
      <c r="B34" s="1189" t="s">
        <v>136</v>
      </c>
      <c r="C34" s="1189" t="s">
        <v>67</v>
      </c>
      <c r="D34" s="8" t="s">
        <v>205</v>
      </c>
      <c r="E34" s="1192" t="s">
        <v>207</v>
      </c>
      <c r="F34" s="10" t="s">
        <v>208</v>
      </c>
      <c r="G34" s="1153">
        <v>500000000</v>
      </c>
      <c r="H34" s="14">
        <v>-3114</v>
      </c>
    </row>
    <row r="35" spans="1:8" ht="30.6">
      <c r="A35" s="1186"/>
      <c r="B35" s="1190"/>
      <c r="C35" s="1190"/>
      <c r="D35" s="8" t="s">
        <v>147</v>
      </c>
      <c r="E35" s="1193"/>
      <c r="F35" s="10" t="s">
        <v>209</v>
      </c>
      <c r="G35" s="1155"/>
      <c r="H35" s="7" t="s">
        <v>166</v>
      </c>
    </row>
    <row r="36" spans="1:8" ht="31.2" thickBot="1">
      <c r="A36" s="1187"/>
      <c r="B36" s="1191"/>
      <c r="C36" s="1191"/>
      <c r="D36" s="9" t="s">
        <v>206</v>
      </c>
      <c r="E36" s="1194"/>
      <c r="F36" s="11" t="s">
        <v>188</v>
      </c>
      <c r="G36" s="1154"/>
      <c r="H36" s="12"/>
    </row>
  </sheetData>
  <mergeCells count="37">
    <mergeCell ref="A2:A4"/>
    <mergeCell ref="B2:B22"/>
    <mergeCell ref="C2:C22"/>
    <mergeCell ref="E2:E4"/>
    <mergeCell ref="G2:G4"/>
    <mergeCell ref="A5:A10"/>
    <mergeCell ref="E5:E10"/>
    <mergeCell ref="G5:G10"/>
    <mergeCell ref="A11:A16"/>
    <mergeCell ref="E11:E16"/>
    <mergeCell ref="G11:G16"/>
    <mergeCell ref="A17:A18"/>
    <mergeCell ref="E17:E18"/>
    <mergeCell ref="G17:G18"/>
    <mergeCell ref="A19:A22"/>
    <mergeCell ref="E19:E22"/>
    <mergeCell ref="G19:G22"/>
    <mergeCell ref="A26:A29"/>
    <mergeCell ref="B26:B29"/>
    <mergeCell ref="C26:C29"/>
    <mergeCell ref="E26:E29"/>
    <mergeCell ref="G26:G29"/>
    <mergeCell ref="A23:A25"/>
    <mergeCell ref="B23:B25"/>
    <mergeCell ref="C23:C25"/>
    <mergeCell ref="E23:E25"/>
    <mergeCell ref="G23:G25"/>
    <mergeCell ref="A34:A36"/>
    <mergeCell ref="B34:B36"/>
    <mergeCell ref="C34:C36"/>
    <mergeCell ref="E34:E36"/>
    <mergeCell ref="G34:G36"/>
    <mergeCell ref="A30:A33"/>
    <mergeCell ref="B30:B33"/>
    <mergeCell ref="C30:C33"/>
    <mergeCell ref="E30:E33"/>
    <mergeCell ref="G30:G33"/>
  </mergeCells>
  <pageMargins left="0.7" right="0.7" top="0.75" bottom="0.75" header="0.3" footer="0.3"/>
  <pageSetup paperSize="9"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E943-BA77-44C4-8CED-47AC2F274C80}">
  <dimension ref="A1:F14"/>
  <sheetViews>
    <sheetView workbookViewId="0">
      <selection activeCell="A3" sqref="A3:A5"/>
    </sheetView>
  </sheetViews>
  <sheetFormatPr defaultRowHeight="14.4"/>
  <cols>
    <col min="1" max="1" width="20.6640625" customWidth="1"/>
    <col min="2" max="2" width="15.88671875" customWidth="1"/>
    <col min="3" max="3" width="20.109375" customWidth="1"/>
  </cols>
  <sheetData>
    <row r="1" spans="1:6">
      <c r="A1" s="1209" t="s">
        <v>345</v>
      </c>
      <c r="B1" s="21" t="s">
        <v>58</v>
      </c>
      <c r="C1" s="1198" t="s">
        <v>59</v>
      </c>
      <c r="D1" s="1198" t="s">
        <v>60</v>
      </c>
      <c r="E1" s="1198" t="s">
        <v>347</v>
      </c>
      <c r="F1" s="1198" t="s">
        <v>63</v>
      </c>
    </row>
    <row r="2" spans="1:6" ht="15" thickBot="1">
      <c r="A2" s="1210"/>
      <c r="B2" s="22" t="s">
        <v>346</v>
      </c>
      <c r="C2" s="1199"/>
      <c r="D2" s="1199"/>
      <c r="E2" s="1199"/>
      <c r="F2" s="1199"/>
    </row>
    <row r="3" spans="1:6" ht="31.8" thickTop="1" thickBot="1">
      <c r="A3" s="1207" t="s">
        <v>348</v>
      </c>
      <c r="B3" s="1208" t="s">
        <v>349</v>
      </c>
      <c r="C3" s="23" t="s">
        <v>350</v>
      </c>
      <c r="D3" s="23">
        <v>4.5599999999999996</v>
      </c>
      <c r="E3" s="23">
        <v>4</v>
      </c>
      <c r="F3" s="23" t="s">
        <v>68</v>
      </c>
    </row>
    <row r="4" spans="1:6" ht="31.2" thickBot="1">
      <c r="A4" s="1200"/>
      <c r="B4" s="1203"/>
      <c r="C4" s="23" t="s">
        <v>351</v>
      </c>
      <c r="D4" s="24">
        <v>40284</v>
      </c>
      <c r="E4" s="24">
        <v>60920</v>
      </c>
      <c r="F4" s="23" t="s">
        <v>79</v>
      </c>
    </row>
    <row r="5" spans="1:6" ht="41.4" thickBot="1">
      <c r="A5" s="1201"/>
      <c r="B5" s="1204"/>
      <c r="C5" s="23" t="s">
        <v>352</v>
      </c>
      <c r="D5" s="23">
        <v>18.399999999999999</v>
      </c>
      <c r="E5" s="23">
        <v>22</v>
      </c>
      <c r="F5" s="23" t="s">
        <v>79</v>
      </c>
    </row>
    <row r="6" spans="1:6">
      <c r="A6" s="1198" t="s">
        <v>353</v>
      </c>
      <c r="B6" s="1202" t="s">
        <v>354</v>
      </c>
      <c r="C6" s="1205" t="s">
        <v>355</v>
      </c>
      <c r="D6" s="25">
        <v>13.5</v>
      </c>
      <c r="E6" s="1205">
        <v>20</v>
      </c>
      <c r="F6" s="1205" t="s">
        <v>79</v>
      </c>
    </row>
    <row r="7" spans="1:6" ht="15" thickBot="1">
      <c r="A7" s="1200"/>
      <c r="B7" s="1203"/>
      <c r="C7" s="1206"/>
      <c r="D7" s="23">
        <v>-2021</v>
      </c>
      <c r="E7" s="1206"/>
      <c r="F7" s="1206"/>
    </row>
    <row r="8" spans="1:6" ht="31.2" thickBot="1">
      <c r="A8" s="1200"/>
      <c r="B8" s="1203"/>
      <c r="C8" s="23" t="s">
        <v>356</v>
      </c>
      <c r="D8" s="23">
        <v>1</v>
      </c>
      <c r="E8" s="23">
        <v>15</v>
      </c>
      <c r="F8" s="23" t="s">
        <v>79</v>
      </c>
    </row>
    <row r="9" spans="1:6" ht="51.6" thickBot="1">
      <c r="A9" s="1200"/>
      <c r="B9" s="1203"/>
      <c r="C9" s="23" t="s">
        <v>357</v>
      </c>
      <c r="D9" s="23">
        <v>2</v>
      </c>
      <c r="E9" s="23">
        <v>4</v>
      </c>
      <c r="F9" s="23" t="s">
        <v>68</v>
      </c>
    </row>
    <row r="10" spans="1:6">
      <c r="A10" s="1200"/>
      <c r="B10" s="1203"/>
      <c r="C10" s="1205" t="s">
        <v>358</v>
      </c>
      <c r="D10" s="25">
        <v>15.2</v>
      </c>
      <c r="E10" s="1205">
        <v>19</v>
      </c>
      <c r="F10" s="1205" t="s">
        <v>359</v>
      </c>
    </row>
    <row r="11" spans="1:6" ht="15" thickBot="1">
      <c r="A11" s="1201"/>
      <c r="B11" s="1204"/>
      <c r="C11" s="1206"/>
      <c r="D11" s="23">
        <v>-2021</v>
      </c>
      <c r="E11" s="1206"/>
      <c r="F11" s="1206"/>
    </row>
    <row r="14" spans="1:6">
      <c r="A14" s="1"/>
    </row>
  </sheetData>
  <mergeCells count="15">
    <mergeCell ref="E1:E2"/>
    <mergeCell ref="F1:F2"/>
    <mergeCell ref="A6:A11"/>
    <mergeCell ref="B6:B11"/>
    <mergeCell ref="C6:C7"/>
    <mergeCell ref="E6:E7"/>
    <mergeCell ref="F6:F7"/>
    <mergeCell ref="C10:C11"/>
    <mergeCell ref="E10:E11"/>
    <mergeCell ref="F10:F11"/>
    <mergeCell ref="A3:A5"/>
    <mergeCell ref="B3:B5"/>
    <mergeCell ref="A1:A2"/>
    <mergeCell ref="C1:C2"/>
    <mergeCell ref="D1:D2"/>
  </mergeCells>
  <hyperlinks>
    <hyperlink ref="A1" location="_ftn1" display="_ftn1" xr:uid="{12C72254-FE3E-4523-90B2-1875249C622D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8DE4-E529-4262-B0E8-F838B26CE53B}">
  <dimension ref="A1:K8"/>
  <sheetViews>
    <sheetView workbookViewId="0">
      <selection activeCell="H7" sqref="H7"/>
    </sheetView>
  </sheetViews>
  <sheetFormatPr defaultRowHeight="14.4"/>
  <cols>
    <col min="1" max="1" width="23.33203125" customWidth="1"/>
  </cols>
  <sheetData>
    <row r="1" spans="1:11" ht="21" thickBot="1">
      <c r="A1" s="26" t="s">
        <v>59</v>
      </c>
      <c r="B1" s="27" t="s">
        <v>99</v>
      </c>
      <c r="C1" s="27" t="s">
        <v>100</v>
      </c>
      <c r="D1" s="27" t="s">
        <v>101</v>
      </c>
      <c r="E1" s="27" t="s">
        <v>102</v>
      </c>
      <c r="F1" s="27" t="s">
        <v>103</v>
      </c>
      <c r="G1" s="27" t="s">
        <v>104</v>
      </c>
      <c r="H1" s="27" t="s">
        <v>105</v>
      </c>
      <c r="I1" s="27" t="s">
        <v>106</v>
      </c>
      <c r="J1" s="27" t="s">
        <v>107</v>
      </c>
      <c r="K1" s="27" t="s">
        <v>63</v>
      </c>
    </row>
    <row r="2" spans="1:11" ht="31.8" thickTop="1" thickBot="1">
      <c r="A2" s="28" t="s">
        <v>360</v>
      </c>
      <c r="B2" s="29">
        <v>4.5599999999999996</v>
      </c>
      <c r="C2" s="29">
        <v>4.53</v>
      </c>
      <c r="D2" s="29">
        <v>4.5</v>
      </c>
      <c r="E2" s="29">
        <v>4.5</v>
      </c>
      <c r="F2" s="29">
        <v>4.4000000000000004</v>
      </c>
      <c r="G2" s="29">
        <v>4.3499999999999996</v>
      </c>
      <c r="H2" s="29">
        <v>4.3</v>
      </c>
      <c r="I2" s="29">
        <v>4.2</v>
      </c>
      <c r="J2" s="29">
        <v>4</v>
      </c>
      <c r="K2" s="23" t="s">
        <v>68</v>
      </c>
    </row>
    <row r="3" spans="1:11" ht="31.2" thickBot="1">
      <c r="A3" s="28" t="s">
        <v>361</v>
      </c>
      <c r="B3" s="30">
        <v>42577</v>
      </c>
      <c r="C3" s="30">
        <v>44870</v>
      </c>
      <c r="D3" s="30">
        <v>47163</v>
      </c>
      <c r="E3" s="30">
        <v>49456</v>
      </c>
      <c r="F3" s="30">
        <v>51748</v>
      </c>
      <c r="G3" s="30">
        <v>54041</v>
      </c>
      <c r="H3" s="30">
        <v>56334</v>
      </c>
      <c r="I3" s="30">
        <v>58627</v>
      </c>
      <c r="J3" s="30">
        <v>60920</v>
      </c>
      <c r="K3" s="31" t="s">
        <v>79</v>
      </c>
    </row>
    <row r="4" spans="1:11" ht="41.4" thickBot="1">
      <c r="A4" s="28" t="s">
        <v>362</v>
      </c>
      <c r="B4" s="29">
        <v>18.8</v>
      </c>
      <c r="C4" s="29">
        <v>19.2</v>
      </c>
      <c r="D4" s="29">
        <v>19.600000000000001</v>
      </c>
      <c r="E4" s="29">
        <v>20</v>
      </c>
      <c r="F4" s="29">
        <v>20.399999999999999</v>
      </c>
      <c r="G4" s="29">
        <v>20.8</v>
      </c>
      <c r="H4" s="29">
        <v>21.2</v>
      </c>
      <c r="I4" s="29">
        <v>21.6</v>
      </c>
      <c r="J4" s="29">
        <v>22</v>
      </c>
      <c r="K4" s="31" t="s">
        <v>79</v>
      </c>
    </row>
    <row r="5" spans="1:11" ht="21" thickBot="1">
      <c r="A5" s="28" t="s">
        <v>363</v>
      </c>
      <c r="B5" s="23">
        <v>13.5</v>
      </c>
      <c r="C5" s="23">
        <v>14</v>
      </c>
      <c r="D5" s="23">
        <v>14.5</v>
      </c>
      <c r="E5" s="23">
        <v>14.5</v>
      </c>
      <c r="F5" s="23">
        <v>15</v>
      </c>
      <c r="G5" s="23">
        <v>16</v>
      </c>
      <c r="H5" s="23">
        <v>18</v>
      </c>
      <c r="I5" s="23">
        <v>20</v>
      </c>
      <c r="J5" s="23">
        <v>22</v>
      </c>
      <c r="K5" s="23" t="s">
        <v>79</v>
      </c>
    </row>
    <row r="6" spans="1:11" ht="31.2" thickBot="1">
      <c r="A6" s="28" t="s">
        <v>364</v>
      </c>
      <c r="B6" s="23">
        <v>1</v>
      </c>
      <c r="C6" s="23">
        <v>1</v>
      </c>
      <c r="D6" s="23">
        <v>1</v>
      </c>
      <c r="E6" s="23">
        <v>5</v>
      </c>
      <c r="F6" s="23">
        <v>5</v>
      </c>
      <c r="G6" s="23">
        <v>10</v>
      </c>
      <c r="H6" s="23">
        <v>12</v>
      </c>
      <c r="I6" s="23">
        <v>15</v>
      </c>
      <c r="J6" s="23">
        <v>20</v>
      </c>
      <c r="K6" s="23" t="s">
        <v>79</v>
      </c>
    </row>
    <row r="7" spans="1:11" ht="41.4" thickBot="1">
      <c r="A7" s="28" t="s">
        <v>365</v>
      </c>
      <c r="B7" s="23">
        <v>2</v>
      </c>
      <c r="C7" s="23">
        <v>2</v>
      </c>
      <c r="D7" s="23">
        <v>2.5</v>
      </c>
      <c r="E7" s="23">
        <v>2.5</v>
      </c>
      <c r="F7" s="23">
        <v>3</v>
      </c>
      <c r="G7" s="23">
        <v>3</v>
      </c>
      <c r="H7" s="23">
        <v>3.5</v>
      </c>
      <c r="I7" s="23">
        <v>3.5</v>
      </c>
      <c r="J7" s="23">
        <v>3.5</v>
      </c>
      <c r="K7" s="23" t="s">
        <v>68</v>
      </c>
    </row>
    <row r="8" spans="1:11" ht="51.6" thickBot="1">
      <c r="A8" s="28" t="s">
        <v>366</v>
      </c>
      <c r="B8" s="23">
        <v>1.95</v>
      </c>
      <c r="C8" s="23">
        <v>2.0499999999999998</v>
      </c>
      <c r="D8" s="23">
        <v>2.25</v>
      </c>
      <c r="E8" s="23">
        <v>2.5</v>
      </c>
      <c r="F8" s="23">
        <v>2.8</v>
      </c>
      <c r="G8" s="23">
        <v>3</v>
      </c>
      <c r="H8" s="23">
        <v>3.4</v>
      </c>
      <c r="I8" s="23">
        <v>3.8</v>
      </c>
      <c r="J8" s="23">
        <v>4</v>
      </c>
      <c r="K8" s="23" t="s">
        <v>359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692D-6FA1-4BF2-BF03-096B653B61F7}">
  <dimension ref="B1:K28"/>
  <sheetViews>
    <sheetView workbookViewId="0">
      <selection activeCell="I2" sqref="I2"/>
    </sheetView>
  </sheetViews>
  <sheetFormatPr defaultRowHeight="14.4"/>
  <cols>
    <col min="1" max="1" width="2" customWidth="1"/>
    <col min="2" max="2" width="40.33203125" bestFit="1" customWidth="1"/>
    <col min="3" max="3" width="21.109375" customWidth="1"/>
    <col min="4" max="4" width="16" bestFit="1" customWidth="1"/>
    <col min="5" max="5" width="15.33203125" bestFit="1" customWidth="1"/>
    <col min="6" max="7" width="11.6640625" bestFit="1" customWidth="1"/>
    <col min="8" max="8" width="14.44140625" bestFit="1" customWidth="1"/>
    <col min="9" max="9" width="11.44140625" bestFit="1" customWidth="1"/>
    <col min="10" max="12" width="11.6640625" bestFit="1" customWidth="1"/>
    <col min="13" max="13" width="10.109375" bestFit="1" customWidth="1"/>
  </cols>
  <sheetData>
    <row r="1" spans="2:11" ht="15" thickBot="1"/>
    <row r="2" spans="2:11" s="1234" customFormat="1" ht="87" thickBot="1">
      <c r="B2" s="1230"/>
      <c r="C2" s="1231" t="s">
        <v>421</v>
      </c>
      <c r="D2" s="1232" t="s">
        <v>421</v>
      </c>
      <c r="E2" s="1233" t="s">
        <v>422</v>
      </c>
      <c r="F2" s="723" t="str">
        <f>'PiR-popis'!F2</f>
        <v>Investicije</v>
      </c>
      <c r="G2" s="723" t="str">
        <f>'PiR-popis'!G2</f>
        <v>Održavanje</v>
      </c>
      <c r="H2" s="723" t="str">
        <f>'PiR-popis'!H2</f>
        <v>Organizacija i upravljanje prometom i upravljanje željezničkom infrastrukturom</v>
      </c>
      <c r="I2" s="723" t="str">
        <f>'PiR-popis'!I2</f>
        <v>Vlastita aktivnost i ostalo (ostvarena razumna dobit)</v>
      </c>
      <c r="J2" s="723" t="str">
        <f>'PiR-popis'!J2</f>
        <v>Zajedničke službe za raspodjelu</v>
      </c>
      <c r="K2" s="724" t="s">
        <v>775</v>
      </c>
    </row>
    <row r="3" spans="2:11" ht="15" thickBot="1">
      <c r="D3" s="642"/>
      <c r="E3" s="725"/>
      <c r="F3" s="722"/>
      <c r="G3" s="722"/>
      <c r="H3" s="722"/>
      <c r="I3" s="722"/>
      <c r="J3" s="722"/>
      <c r="K3" s="722"/>
    </row>
    <row r="4" spans="2:11">
      <c r="B4" s="682" t="s">
        <v>926</v>
      </c>
      <c r="C4" s="682"/>
      <c r="D4" s="683"/>
      <c r="E4" s="684"/>
      <c r="F4" s="683"/>
      <c r="G4" s="683"/>
      <c r="H4" s="683"/>
      <c r="I4" s="683"/>
      <c r="J4" s="683"/>
      <c r="K4" s="684"/>
    </row>
    <row r="5" spans="2:11">
      <c r="B5" s="685" t="s">
        <v>928</v>
      </c>
      <c r="C5" s="685"/>
      <c r="D5" s="462"/>
      <c r="E5" s="686"/>
      <c r="F5" s="462">
        <v>1</v>
      </c>
      <c r="G5" s="462">
        <v>1</v>
      </c>
      <c r="H5" s="462">
        <v>1</v>
      </c>
      <c r="I5" s="462">
        <v>1</v>
      </c>
      <c r="J5" s="462"/>
      <c r="K5" s="686"/>
    </row>
    <row r="6" spans="2:11">
      <c r="B6" s="713" t="s">
        <v>927</v>
      </c>
      <c r="C6" s="713"/>
      <c r="D6" s="714">
        <f>Bilanca!D47*0.03%</f>
        <v>2192934.9038579999</v>
      </c>
      <c r="E6" s="726">
        <f>D6</f>
        <v>2192934.9038579999</v>
      </c>
      <c r="F6" s="716">
        <v>0.3</v>
      </c>
      <c r="G6" s="716">
        <v>0.15</v>
      </c>
      <c r="H6" s="716">
        <v>0.4</v>
      </c>
      <c r="I6" s="716">
        <v>0.15</v>
      </c>
      <c r="J6" s="715"/>
      <c r="K6" s="717"/>
    </row>
    <row r="7" spans="2:11" ht="15" thickBot="1">
      <c r="B7" s="687" t="s">
        <v>929</v>
      </c>
      <c r="C7" s="687"/>
      <c r="D7" s="688"/>
      <c r="E7" s="690"/>
      <c r="F7" s="689">
        <f>F6*$D$6</f>
        <v>657880.47115739994</v>
      </c>
      <c r="G7" s="689">
        <f t="shared" ref="G7:I7" si="0">G6*$D$6</f>
        <v>328940.23557869997</v>
      </c>
      <c r="H7" s="689">
        <f t="shared" si="0"/>
        <v>877173.96154320007</v>
      </c>
      <c r="I7" s="689">
        <f t="shared" si="0"/>
        <v>328940.23557869997</v>
      </c>
      <c r="J7" s="688"/>
      <c r="K7" s="690"/>
    </row>
    <row r="8" spans="2:11" ht="15" thickBot="1">
      <c r="E8" s="695"/>
    </row>
    <row r="9" spans="2:11">
      <c r="B9" s="692" t="s">
        <v>938</v>
      </c>
      <c r="C9" s="692"/>
      <c r="D9" s="640"/>
      <c r="E9" s="693"/>
      <c r="F9" s="640"/>
      <c r="G9" s="640"/>
      <c r="H9" s="640"/>
      <c r="I9" s="640"/>
      <c r="J9" s="640"/>
      <c r="K9" s="693"/>
    </row>
    <row r="10" spans="2:11">
      <c r="B10" s="685" t="s">
        <v>368</v>
      </c>
      <c r="C10" s="685"/>
      <c r="D10" s="514">
        <f>'PiR-popis'!D208</f>
        <v>229713785.00999999</v>
      </c>
      <c r="E10" s="706">
        <f>'PiR-popis'!E208</f>
        <v>210806925.47</v>
      </c>
      <c r="F10" s="514">
        <f>'PiR-popis'!F208</f>
        <v>0</v>
      </c>
      <c r="G10" s="514">
        <f>'PiR-popis'!G208</f>
        <v>0</v>
      </c>
      <c r="H10" s="514">
        <f>'PiR-popis'!H208</f>
        <v>0</v>
      </c>
      <c r="I10" s="514">
        <f>'PiR-popis'!I208</f>
        <v>0</v>
      </c>
      <c r="J10" s="514">
        <f>'PiR-popis'!J208</f>
        <v>0</v>
      </c>
      <c r="K10" s="706">
        <f>'PiR-popis'!K208</f>
        <v>0</v>
      </c>
    </row>
    <row r="11" spans="2:11">
      <c r="B11" s="685" t="s">
        <v>386</v>
      </c>
      <c r="C11" s="685"/>
      <c r="D11" s="514">
        <f>'PiR-popis'!D209</f>
        <v>2640694.3199999998</v>
      </c>
      <c r="E11" s="706">
        <f>'PiR-popis'!E209</f>
        <v>14102404.57</v>
      </c>
      <c r="F11" s="514">
        <f>'PiR-popis'!F209</f>
        <v>0</v>
      </c>
      <c r="G11" s="514">
        <f>'PiR-popis'!G209</f>
        <v>0</v>
      </c>
      <c r="H11" s="514">
        <f>'PiR-popis'!H209</f>
        <v>0</v>
      </c>
      <c r="I11" s="514">
        <f>'PiR-popis'!I209</f>
        <v>0</v>
      </c>
      <c r="J11" s="514">
        <f>'PiR-popis'!J209</f>
        <v>0</v>
      </c>
      <c r="K11" s="706">
        <f>'PiR-popis'!K209</f>
        <v>0</v>
      </c>
    </row>
    <row r="12" spans="2:11">
      <c r="B12" s="694" t="s">
        <v>933</v>
      </c>
      <c r="C12" s="694"/>
      <c r="D12" s="81">
        <f>'PiR-popis'!D210</f>
        <v>34862190.119999997</v>
      </c>
      <c r="E12" s="696">
        <f>'PiR-popis'!E210</f>
        <v>88648163.749999985</v>
      </c>
      <c r="F12" s="81">
        <f>'PiR-popis'!F210</f>
        <v>0</v>
      </c>
      <c r="G12" s="81">
        <f>'PiR-popis'!G210</f>
        <v>0</v>
      </c>
      <c r="H12" s="81">
        <f>'PiR-popis'!H210</f>
        <v>0</v>
      </c>
      <c r="I12" s="81">
        <f>'PiR-popis'!I210</f>
        <v>0</v>
      </c>
      <c r="J12" s="81">
        <f>'PiR-popis'!J210</f>
        <v>0</v>
      </c>
      <c r="K12" s="696">
        <f>'PiR-popis'!K210</f>
        <v>0</v>
      </c>
    </row>
    <row r="13" spans="2:11" s="691" customFormat="1" ht="10.199999999999999" thickBot="1">
      <c r="B13" s="699" t="s">
        <v>936</v>
      </c>
      <c r="C13" s="699"/>
      <c r="D13" s="700">
        <f>'PiR-popis'!D211</f>
        <v>7.4505805969238281E-9</v>
      </c>
      <c r="E13" s="701">
        <f>'PiR-popis'!E211</f>
        <v>-1.9371509552001953E-7</v>
      </c>
      <c r="F13" s="700">
        <f>'PiR-popis'!F211</f>
        <v>0</v>
      </c>
      <c r="G13" s="700">
        <f>'PiR-popis'!G211</f>
        <v>0</v>
      </c>
      <c r="H13" s="700">
        <f>'PiR-popis'!H211</f>
        <v>0</v>
      </c>
      <c r="I13" s="700">
        <f>'PiR-popis'!I211</f>
        <v>0</v>
      </c>
      <c r="J13" s="700">
        <f>'PiR-popis'!J211</f>
        <v>0</v>
      </c>
      <c r="K13" s="701">
        <f>'PiR-popis'!K211</f>
        <v>0</v>
      </c>
    </row>
    <row r="14" spans="2:11" ht="15" thickBot="1">
      <c r="D14" s="81"/>
      <c r="E14" s="696"/>
      <c r="F14" s="81"/>
      <c r="G14" s="81"/>
      <c r="H14" s="81"/>
      <c r="I14" s="81"/>
      <c r="J14" s="81"/>
      <c r="K14" s="81"/>
    </row>
    <row r="15" spans="2:11">
      <c r="B15" s="682" t="s">
        <v>934</v>
      </c>
      <c r="C15" s="682"/>
      <c r="D15" s="704">
        <f>'PiR-popis'!D213</f>
        <v>1177448173.6800001</v>
      </c>
      <c r="E15" s="705">
        <f>'PiR-popis'!E213</f>
        <v>1142316731.7799997</v>
      </c>
      <c r="F15" s="704">
        <f>'PiR-popis'!F213</f>
        <v>0</v>
      </c>
      <c r="G15" s="704">
        <f>'PiR-popis'!G213</f>
        <v>0</v>
      </c>
      <c r="H15" s="704">
        <f>'PiR-popis'!H213</f>
        <v>0</v>
      </c>
      <c r="I15" s="704">
        <f>'PiR-popis'!I213</f>
        <v>0</v>
      </c>
      <c r="J15" s="704">
        <f>'PiR-popis'!J213</f>
        <v>0</v>
      </c>
      <c r="K15" s="705">
        <f>'PiR-popis'!K213</f>
        <v>0</v>
      </c>
    </row>
    <row r="16" spans="2:11">
      <c r="B16" s="694" t="s">
        <v>935</v>
      </c>
      <c r="C16" s="694"/>
      <c r="D16" s="81">
        <f>'PiR-popis'!D214</f>
        <v>89694031.420000002</v>
      </c>
      <c r="E16" s="696">
        <f>'PiR-popis'!E214</f>
        <v>99243517.979999989</v>
      </c>
      <c r="F16" s="81">
        <f>'PiR-popis'!F214</f>
        <v>0</v>
      </c>
      <c r="G16" s="81">
        <f>'PiR-popis'!G214</f>
        <v>0</v>
      </c>
      <c r="H16" s="81">
        <f>'PiR-popis'!H214</f>
        <v>0</v>
      </c>
      <c r="I16" s="81">
        <f>'PiR-popis'!I214</f>
        <v>0</v>
      </c>
      <c r="J16" s="81">
        <f>'PiR-popis'!J214</f>
        <v>0</v>
      </c>
      <c r="K16" s="696">
        <f>'PiR-popis'!K214</f>
        <v>0</v>
      </c>
    </row>
    <row r="17" spans="2:11" s="691" customFormat="1" ht="10.199999999999999" thickBot="1">
      <c r="B17" s="699" t="s">
        <v>637</v>
      </c>
      <c r="C17" s="699"/>
      <c r="D17" s="700">
        <f>'PiR-popis'!D215</f>
        <v>-2.5890767574310303E-7</v>
      </c>
      <c r="E17" s="701">
        <f>'PiR-popis'!E215</f>
        <v>2.3096799850463867E-7</v>
      </c>
      <c r="F17" s="700">
        <f>'PiR-popis'!F215</f>
        <v>0</v>
      </c>
      <c r="G17" s="700">
        <f>'PiR-popis'!G215</f>
        <v>0</v>
      </c>
      <c r="H17" s="700">
        <f>'PiR-popis'!H215</f>
        <v>0</v>
      </c>
      <c r="I17" s="700">
        <f>'PiR-popis'!I215</f>
        <v>0</v>
      </c>
      <c r="J17" s="700">
        <f>'PiR-popis'!J215</f>
        <v>0</v>
      </c>
      <c r="K17" s="701">
        <f>'PiR-popis'!K215</f>
        <v>0</v>
      </c>
    </row>
    <row r="18" spans="2:11" ht="15" thickBot="1">
      <c r="D18" s="81"/>
      <c r="E18" s="696"/>
      <c r="F18" s="81"/>
      <c r="G18" s="81"/>
      <c r="H18" s="81"/>
      <c r="I18" s="81"/>
      <c r="J18" s="81"/>
      <c r="K18" s="81"/>
    </row>
    <row r="19" spans="2:11">
      <c r="B19" s="682" t="s">
        <v>930</v>
      </c>
      <c r="C19" s="682"/>
      <c r="D19" s="704">
        <f>'PiR-popis'!D217</f>
        <v>947734388.67000008</v>
      </c>
      <c r="E19" s="705">
        <f>'PiR-popis'!E217</f>
        <v>931509806.3099997</v>
      </c>
      <c r="F19" s="704">
        <f>'PiR-popis'!F217</f>
        <v>0</v>
      </c>
      <c r="G19" s="704">
        <f>'PiR-popis'!G217</f>
        <v>0</v>
      </c>
      <c r="H19" s="704">
        <f>'PiR-popis'!H217</f>
        <v>0</v>
      </c>
      <c r="I19" s="704">
        <f>'PiR-popis'!I217</f>
        <v>0</v>
      </c>
      <c r="J19" s="704">
        <f>'PiR-popis'!J217</f>
        <v>0</v>
      </c>
      <c r="K19" s="705">
        <f>'PiR-popis'!K217</f>
        <v>0</v>
      </c>
    </row>
    <row r="20" spans="2:11">
      <c r="B20" s="685" t="s">
        <v>931</v>
      </c>
      <c r="C20" s="685"/>
      <c r="D20" s="514">
        <f>'PiR-popis'!D218</f>
        <v>-1003385794.2099999</v>
      </c>
      <c r="E20" s="706">
        <f>'PiR-popis'!E218</f>
        <v>-928641741.03999996</v>
      </c>
      <c r="F20" s="514">
        <f>'PiR-popis'!F218</f>
        <v>0</v>
      </c>
      <c r="G20" s="514">
        <f>'PiR-popis'!G218</f>
        <v>0</v>
      </c>
      <c r="H20" s="514">
        <f>'PiR-popis'!H218</f>
        <v>0</v>
      </c>
      <c r="I20" s="514">
        <f>'PiR-popis'!I218</f>
        <v>0</v>
      </c>
      <c r="J20" s="514">
        <f>'PiR-popis'!J218</f>
        <v>0</v>
      </c>
      <c r="K20" s="706">
        <f>'PiR-popis'!K218</f>
        <v>0</v>
      </c>
    </row>
    <row r="21" spans="2:11" s="712" customFormat="1" ht="12">
      <c r="B21" s="709" t="str">
        <f>'PiR-popis'!B219</f>
        <v>Prihod iz Proračuna RH za željezničku infrastrukturu</v>
      </c>
      <c r="C21" s="709"/>
      <c r="D21" s="710">
        <f>'PiR-popis'!D219</f>
        <v>475497000</v>
      </c>
      <c r="E21" s="711">
        <f>'PiR-popis'!E219</f>
        <v>445000000</v>
      </c>
      <c r="F21" s="710">
        <f>'PiR-popis'!F219</f>
        <v>0</v>
      </c>
      <c r="G21" s="710">
        <f>'PiR-popis'!G219</f>
        <v>0</v>
      </c>
      <c r="H21" s="710">
        <f>'PiR-popis'!H219</f>
        <v>0</v>
      </c>
      <c r="I21" s="710">
        <f>'PiR-popis'!I219</f>
        <v>0</v>
      </c>
      <c r="J21" s="710">
        <f>'PiR-popis'!J219</f>
        <v>0</v>
      </c>
      <c r="K21" s="711">
        <f>'PiR-popis'!K219</f>
        <v>0</v>
      </c>
    </row>
    <row r="22" spans="2:11" s="712" customFormat="1" ht="12">
      <c r="B22" s="709" t="str">
        <f>'PiR-popis'!B220</f>
        <v>Prihod iz Proračuna RH za želj.infrastrukturu - trošarine</v>
      </c>
      <c r="C22" s="709"/>
      <c r="D22" s="710">
        <f>'PiR-popis'!D220</f>
        <v>485044574</v>
      </c>
      <c r="E22" s="711">
        <f>'PiR-popis'!E220</f>
        <v>445134400.56</v>
      </c>
      <c r="F22" s="710">
        <f>'PiR-popis'!F220</f>
        <v>0</v>
      </c>
      <c r="G22" s="710">
        <f>'PiR-popis'!G220</f>
        <v>0</v>
      </c>
      <c r="H22" s="710">
        <f>'PiR-popis'!H220</f>
        <v>0</v>
      </c>
      <c r="I22" s="710">
        <f>'PiR-popis'!I220</f>
        <v>0</v>
      </c>
      <c r="J22" s="710">
        <f>'PiR-popis'!J220</f>
        <v>0</v>
      </c>
      <c r="K22" s="711">
        <f>'PiR-popis'!K220</f>
        <v>0</v>
      </c>
    </row>
    <row r="23" spans="2:11" s="712" customFormat="1" ht="12">
      <c r="B23" s="709" t="str">
        <f>'PiR-popis'!B221</f>
        <v>Prihod iz Proračuna u visini alikvotnog dijela amortizacije</v>
      </c>
      <c r="C23" s="709"/>
      <c r="D23" s="710">
        <f>'PiR-popis'!D221</f>
        <v>34426076.399999999</v>
      </c>
      <c r="E23" s="711">
        <f>'PiR-popis'!E221</f>
        <v>34426076.399999999</v>
      </c>
      <c r="F23" s="710">
        <f>'PiR-popis'!F221</f>
        <v>0</v>
      </c>
      <c r="G23" s="710">
        <f>'PiR-popis'!G221</f>
        <v>0</v>
      </c>
      <c r="H23" s="710">
        <f>'PiR-popis'!H221</f>
        <v>0</v>
      </c>
      <c r="I23" s="710">
        <f>'PiR-popis'!I221</f>
        <v>0</v>
      </c>
      <c r="J23" s="710">
        <f>'PiR-popis'!J221</f>
        <v>0</v>
      </c>
      <c r="K23" s="711">
        <f>'PiR-popis'!K221</f>
        <v>0</v>
      </c>
    </row>
    <row r="24" spans="2:11" s="712" customFormat="1" ht="12">
      <c r="B24" s="709" t="str">
        <f>'PiR-popis'!B222</f>
        <v>Prihod od proračuna - otplata zajma IBRD</v>
      </c>
      <c r="C24" s="709"/>
      <c r="D24" s="710">
        <f>'PiR-popis'!D222</f>
        <v>8418143.8100000005</v>
      </c>
      <c r="E24" s="711">
        <f>'PiR-popis'!E222</f>
        <v>4081264.08</v>
      </c>
      <c r="F24" s="710">
        <f>'PiR-popis'!F222</f>
        <v>0</v>
      </c>
      <c r="G24" s="710">
        <f>'PiR-popis'!G222</f>
        <v>0</v>
      </c>
      <c r="H24" s="710">
        <f>'PiR-popis'!H222</f>
        <v>0</v>
      </c>
      <c r="I24" s="710">
        <f>'PiR-popis'!I222</f>
        <v>0</v>
      </c>
      <c r="J24" s="710">
        <f>'PiR-popis'!J222</f>
        <v>0</v>
      </c>
      <c r="K24" s="711">
        <f>'PiR-popis'!K222</f>
        <v>0</v>
      </c>
    </row>
    <row r="25" spans="2:11" ht="15" thickBot="1">
      <c r="B25" s="687" t="s">
        <v>932</v>
      </c>
      <c r="C25" s="687"/>
      <c r="D25" s="707">
        <f>'PiR-popis'!D223</f>
        <v>-55651405.539999843</v>
      </c>
      <c r="E25" s="708">
        <f>'PiR-popis'!E223</f>
        <v>2868065.2699997425</v>
      </c>
      <c r="F25" s="707">
        <f>'PiR-popis'!F223</f>
        <v>0</v>
      </c>
      <c r="G25" s="707">
        <f>'PiR-popis'!G223</f>
        <v>0</v>
      </c>
      <c r="H25" s="707">
        <f>'PiR-popis'!H223</f>
        <v>0</v>
      </c>
      <c r="I25" s="707">
        <f>'PiR-popis'!I223</f>
        <v>0</v>
      </c>
      <c r="J25" s="707">
        <f>'PiR-popis'!J223</f>
        <v>0</v>
      </c>
      <c r="K25" s="708">
        <f>'PiR-popis'!K223</f>
        <v>0</v>
      </c>
    </row>
    <row r="26" spans="2:11" ht="15" thickBot="1">
      <c r="E26" s="696"/>
    </row>
    <row r="27" spans="2:11">
      <c r="B27" s="718" t="str">
        <f>B4</f>
        <v>Primjereni prinos</v>
      </c>
      <c r="C27" s="718"/>
      <c r="D27" s="719">
        <f>'PiR-popis'!D225</f>
        <v>2192934.9038579999</v>
      </c>
      <c r="E27" s="720">
        <f>'PiR-popis'!E225</f>
        <v>2192934.9038579999</v>
      </c>
      <c r="F27" s="719">
        <f>'PiR-popis'!F225</f>
        <v>657880.47115739994</v>
      </c>
      <c r="G27" s="719">
        <f>'PiR-popis'!G225</f>
        <v>328940.23557869997</v>
      </c>
      <c r="H27" s="719">
        <f>'PiR-popis'!H225</f>
        <v>877173.96154320007</v>
      </c>
      <c r="I27" s="719">
        <f>'PiR-popis'!I225</f>
        <v>328940.23557869997</v>
      </c>
      <c r="J27" s="719">
        <f>'PiR-popis'!J225</f>
        <v>0</v>
      </c>
      <c r="K27" s="720">
        <f>'PiR-popis'!K225</f>
        <v>0</v>
      </c>
    </row>
    <row r="28" spans="2:11" ht="15" thickBot="1">
      <c r="B28" s="721" t="s">
        <v>937</v>
      </c>
      <c r="C28" s="721"/>
      <c r="D28" s="697">
        <f>'PiR-popis'!D226</f>
        <v>-53458470.636141844</v>
      </c>
      <c r="E28" s="698">
        <f>'PiR-popis'!E226</f>
        <v>5061000.1738577429</v>
      </c>
      <c r="F28" s="697">
        <f>'PiR-popis'!F226</f>
        <v>657880.47115739994</v>
      </c>
      <c r="G28" s="697">
        <f>'PiR-popis'!G226</f>
        <v>328940.23557869997</v>
      </c>
      <c r="H28" s="697">
        <f>'PiR-popis'!H226</f>
        <v>877173.96154320007</v>
      </c>
      <c r="I28" s="697">
        <f>'PiR-popis'!I226</f>
        <v>328940.23557869997</v>
      </c>
      <c r="J28" s="697">
        <f>'PiR-popis'!J226</f>
        <v>0</v>
      </c>
      <c r="K28" s="698">
        <f>'PiR-popis'!K226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886A-2A28-4840-A453-8F4CDF5F5606}">
  <dimension ref="A1"/>
  <sheetViews>
    <sheetView workbookViewId="0">
      <selection sqref="A1:C1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CD281-654F-4F8F-A13A-C53DBE86D64D}">
  <dimension ref="A1:H48"/>
  <sheetViews>
    <sheetView workbookViewId="0">
      <selection activeCell="C25" sqref="C25"/>
    </sheetView>
  </sheetViews>
  <sheetFormatPr defaultColWidth="9.109375" defaultRowHeight="11.4"/>
  <cols>
    <col min="1" max="1" width="44.6640625" style="34" bestFit="1" customWidth="1"/>
    <col min="2" max="2" width="17.109375" style="34" customWidth="1"/>
    <col min="3" max="3" width="18.21875" style="34" customWidth="1"/>
    <col min="4" max="4" width="15.5546875" style="43" bestFit="1" customWidth="1"/>
    <col min="5" max="5" width="1.109375" style="43" customWidth="1"/>
    <col min="6" max="6" width="16.21875" style="43" bestFit="1" customWidth="1"/>
    <col min="7" max="7" width="9.109375" style="34"/>
    <col min="8" max="8" width="11.5546875" style="34" bestFit="1" customWidth="1"/>
    <col min="9" max="16384" width="9.109375" style="34"/>
  </cols>
  <sheetData>
    <row r="1" spans="1:6" ht="12">
      <c r="A1" s="165"/>
      <c r="B1" s="1088" t="s">
        <v>99</v>
      </c>
      <c r="C1" s="1088" t="s">
        <v>423</v>
      </c>
      <c r="D1" s="1088" t="s">
        <v>638</v>
      </c>
      <c r="E1" s="166"/>
      <c r="F1" s="1088" t="s">
        <v>639</v>
      </c>
    </row>
    <row r="2" spans="1:6" ht="12">
      <c r="A2" s="165"/>
      <c r="B2" s="1088"/>
      <c r="C2" s="1088"/>
      <c r="D2" s="1088"/>
      <c r="E2" s="166"/>
      <c r="F2" s="1088"/>
    </row>
    <row r="3" spans="1:6" ht="12">
      <c r="A3" s="32"/>
      <c r="B3" s="32"/>
      <c r="C3" s="32"/>
      <c r="D3" s="33"/>
      <c r="E3" s="33"/>
      <c r="F3" s="33"/>
    </row>
    <row r="4" spans="1:6">
      <c r="A4" s="52" t="s">
        <v>367</v>
      </c>
      <c r="B4" s="180">
        <v>112939246.86</v>
      </c>
      <c r="C4" s="180">
        <v>115649919.68999998</v>
      </c>
      <c r="D4" s="69">
        <f>P!D27</f>
        <v>115649919.68999998</v>
      </c>
      <c r="E4" s="69"/>
      <c r="F4" s="69">
        <v>117024776.61000001</v>
      </c>
    </row>
    <row r="5" spans="1:6">
      <c r="A5" s="174" t="s">
        <v>368</v>
      </c>
      <c r="B5" s="180">
        <v>65506128.210000001</v>
      </c>
      <c r="C5" s="180">
        <v>64598807.859999999</v>
      </c>
      <c r="D5" s="69">
        <f>'PiR-popis'!D35</f>
        <v>64598807.859999999</v>
      </c>
      <c r="E5" s="69"/>
      <c r="F5" s="69">
        <v>57027496.630000003</v>
      </c>
    </row>
    <row r="6" spans="1:6">
      <c r="A6" s="174" t="s">
        <v>397</v>
      </c>
      <c r="B6" s="180">
        <v>8348404.1299999999</v>
      </c>
      <c r="C6" s="180">
        <v>9632312.3300000001</v>
      </c>
      <c r="D6" s="41">
        <f>'PiR-popis'!D60</f>
        <v>9632312.3300000001</v>
      </c>
      <c r="E6" s="69"/>
      <c r="F6" s="41">
        <v>8673695.4800000004</v>
      </c>
    </row>
    <row r="7" spans="1:6">
      <c r="A7" s="174" t="s">
        <v>398</v>
      </c>
      <c r="B7" s="180">
        <v>1208393.6300000001</v>
      </c>
      <c r="C7" s="180">
        <v>1240252.7</v>
      </c>
      <c r="D7" s="41">
        <f>'PiR-popis'!D67</f>
        <v>1240252.7</v>
      </c>
      <c r="E7" s="69"/>
      <c r="F7" s="41">
        <v>2201508.34</v>
      </c>
    </row>
    <row r="8" spans="1:6">
      <c r="A8" s="174" t="s">
        <v>369</v>
      </c>
      <c r="B8" s="180">
        <f>B9+B10</f>
        <v>1330321480.1300001</v>
      </c>
      <c r="C8" s="180">
        <f>C9+C10</f>
        <v>1076840476.7600002</v>
      </c>
      <c r="D8" s="69">
        <f>'PiR-popis'!D55</f>
        <v>1076840476.76</v>
      </c>
      <c r="E8" s="69"/>
      <c r="F8" s="69">
        <v>1043236726.9499999</v>
      </c>
    </row>
    <row r="9" spans="1:6" s="901" customFormat="1">
      <c r="A9" s="898" t="s">
        <v>970</v>
      </c>
      <c r="B9" s="899">
        <v>1062390452.1900001</v>
      </c>
      <c r="C9" s="899">
        <v>968959717.80999994</v>
      </c>
      <c r="D9" s="900"/>
      <c r="E9" s="900"/>
      <c r="F9" s="900"/>
    </row>
    <row r="10" spans="1:6" s="901" customFormat="1">
      <c r="A10" s="898" t="s">
        <v>971</v>
      </c>
      <c r="B10" s="899">
        <v>267931027.94000012</v>
      </c>
      <c r="C10" s="899">
        <v>107880758.95000029</v>
      </c>
      <c r="D10" s="900"/>
      <c r="E10" s="900"/>
      <c r="F10" s="900"/>
    </row>
    <row r="11" spans="1:6" ht="12">
      <c r="A11" s="175" t="s">
        <v>370</v>
      </c>
      <c r="B11" s="178">
        <f>B4+B5+B6+B7+B8</f>
        <v>1518323652.96</v>
      </c>
      <c r="C11" s="178">
        <f>C4+C5+C6+C7+C8</f>
        <v>1267961769.3400002</v>
      </c>
      <c r="D11" s="176">
        <f>SUM(D4:D8)</f>
        <v>1267961769.3399999</v>
      </c>
      <c r="E11" s="176"/>
      <c r="F11" s="176">
        <f>SUM(F4:F8)</f>
        <v>1228164204.01</v>
      </c>
    </row>
    <row r="12" spans="1:6">
      <c r="A12" s="174"/>
      <c r="B12" s="180"/>
      <c r="C12" s="180"/>
      <c r="D12" s="69">
        <f>D11/7.5345</f>
        <v>168287446.98918307</v>
      </c>
      <c r="E12" s="69"/>
      <c r="F12" s="69"/>
    </row>
    <row r="13" spans="1:6" s="901" customFormat="1">
      <c r="A13" s="898" t="s">
        <v>371</v>
      </c>
      <c r="B13" s="899">
        <v>102710074.63</v>
      </c>
      <c r="C13" s="899">
        <v>116595997.70999999</v>
      </c>
      <c r="D13" s="902">
        <f>'PiR-popis'!D78</f>
        <v>116595997.71000002</v>
      </c>
      <c r="E13" s="900"/>
      <c r="F13" s="902">
        <v>103078300.25</v>
      </c>
    </row>
    <row r="14" spans="1:6" s="901" customFormat="1">
      <c r="A14" s="903" t="s">
        <v>372</v>
      </c>
      <c r="B14" s="899">
        <v>6574039.8499999996</v>
      </c>
      <c r="C14" s="899">
        <v>10557871.02</v>
      </c>
      <c r="D14" s="904">
        <f>'PiR-popis'!D80</f>
        <v>10557871.02</v>
      </c>
      <c r="E14" s="900"/>
      <c r="F14" s="904">
        <v>4753208.96</v>
      </c>
    </row>
    <row r="15" spans="1:6" s="901" customFormat="1">
      <c r="A15" s="898" t="s">
        <v>373</v>
      </c>
      <c r="B15" s="899">
        <v>184612824.62</v>
      </c>
      <c r="C15" s="899">
        <v>221412416.81999999</v>
      </c>
      <c r="D15" s="905">
        <f>'PiR-popis'!D94</f>
        <v>221412416.81999996</v>
      </c>
      <c r="E15" s="900"/>
      <c r="F15" s="905">
        <v>214791132.46000001</v>
      </c>
    </row>
    <row r="16" spans="1:6">
      <c r="A16" s="174" t="s">
        <v>374</v>
      </c>
      <c r="B16" s="180">
        <v>293896939.10000002</v>
      </c>
      <c r="C16" s="180">
        <v>348566285.54999995</v>
      </c>
      <c r="D16" s="69">
        <f>SUM(D13:D15)</f>
        <v>348566285.54999995</v>
      </c>
      <c r="E16" s="69"/>
      <c r="F16" s="69">
        <f>SUM(F13:F15)</f>
        <v>322622641.67000002</v>
      </c>
    </row>
    <row r="17" spans="1:8" s="901" customFormat="1">
      <c r="A17" s="898" t="s">
        <v>375</v>
      </c>
      <c r="B17" s="899">
        <v>435052837.56</v>
      </c>
      <c r="C17" s="899">
        <v>406247238.69</v>
      </c>
      <c r="D17" s="902">
        <f>'PiR-popis'!D123</f>
        <v>406247238.69</v>
      </c>
      <c r="E17" s="900"/>
      <c r="F17" s="902">
        <v>413998259.58999997</v>
      </c>
    </row>
    <row r="18" spans="1:8" s="901" customFormat="1">
      <c r="A18" s="898" t="s">
        <v>376</v>
      </c>
      <c r="B18" s="899">
        <v>157913036.31999999</v>
      </c>
      <c r="C18" s="899">
        <v>142122915.25999999</v>
      </c>
      <c r="D18" s="904">
        <f>'PiR-popis'!D124</f>
        <v>142122915.25999999</v>
      </c>
      <c r="E18" s="900"/>
      <c r="F18" s="904">
        <v>151884006.93000001</v>
      </c>
    </row>
    <row r="19" spans="1:8" s="901" customFormat="1">
      <c r="A19" s="898" t="s">
        <v>377</v>
      </c>
      <c r="B19" s="899">
        <v>98201215.140000001</v>
      </c>
      <c r="C19" s="899">
        <v>91362319.870000005</v>
      </c>
      <c r="D19" s="905">
        <f>'PiR-popis'!D125</f>
        <v>91362319.870000005</v>
      </c>
      <c r="E19" s="900"/>
      <c r="F19" s="905">
        <v>95084307.280000001</v>
      </c>
    </row>
    <row r="20" spans="1:8">
      <c r="A20" s="174" t="s">
        <v>378</v>
      </c>
      <c r="B20" s="180">
        <v>691167089.01999998</v>
      </c>
      <c r="C20" s="180">
        <v>639732473.82000005</v>
      </c>
      <c r="D20" s="69">
        <f>SUM(D17:D19)</f>
        <v>639732473.82000005</v>
      </c>
      <c r="E20" s="69"/>
      <c r="F20" s="69">
        <f>SUM(F17:F19)</f>
        <v>660966573.79999995</v>
      </c>
    </row>
    <row r="21" spans="1:8">
      <c r="A21" s="174" t="s">
        <v>381</v>
      </c>
      <c r="B21" s="180">
        <v>86846696.070000008</v>
      </c>
      <c r="C21" s="180">
        <v>18311288.599999998</v>
      </c>
      <c r="D21" s="69">
        <f>'PiR-popis'!D134</f>
        <v>18311288.600000001</v>
      </c>
      <c r="E21" s="69"/>
      <c r="F21" s="69">
        <f>61149144.93+125932.94</f>
        <v>61275077.869999997</v>
      </c>
    </row>
    <row r="22" spans="1:8">
      <c r="A22" s="174" t="s">
        <v>382</v>
      </c>
      <c r="B22" s="180">
        <v>73639822</v>
      </c>
      <c r="C22" s="180">
        <v>63418497.549999997</v>
      </c>
      <c r="D22" s="69">
        <f>'PiR-popis'!D144</f>
        <v>63418497.550000004</v>
      </c>
      <c r="E22" s="69"/>
      <c r="F22" s="69">
        <f>30356745.12-125932.94</f>
        <v>30230812.18</v>
      </c>
    </row>
    <row r="23" spans="1:8">
      <c r="A23" s="174" t="s">
        <v>379</v>
      </c>
      <c r="B23" s="180">
        <v>28901302.859999999</v>
      </c>
      <c r="C23" s="180">
        <v>31501833.989999998</v>
      </c>
      <c r="D23" s="69">
        <f>'PiR-popis'!D150</f>
        <v>31501833.990000002</v>
      </c>
      <c r="E23" s="69"/>
      <c r="F23" s="69">
        <v>36227871.420000002</v>
      </c>
    </row>
    <row r="24" spans="1:8">
      <c r="A24" s="174" t="s">
        <v>380</v>
      </c>
      <c r="B24" s="180">
        <v>160592396.84999999</v>
      </c>
      <c r="C24" s="180">
        <v>142968620.86000001</v>
      </c>
      <c r="D24" s="69">
        <f>'PiR-popis'!D119+'PiR-popis'!D164</f>
        <v>156865364.44000003</v>
      </c>
      <c r="E24" s="69"/>
      <c r="F24" s="69">
        <f>110035536.37+9990923.49</f>
        <v>120026459.86</v>
      </c>
      <c r="H24" s="50"/>
    </row>
    <row r="25" spans="1:8">
      <c r="A25" s="174" t="s">
        <v>745</v>
      </c>
      <c r="B25" s="180">
        <v>33840387.219999999</v>
      </c>
      <c r="C25" s="180">
        <v>13896743.58</v>
      </c>
      <c r="D25" s="69"/>
      <c r="E25" s="69"/>
      <c r="F25" s="69"/>
    </row>
    <row r="26" spans="1:8" ht="12">
      <c r="A26" s="175" t="s">
        <v>383</v>
      </c>
      <c r="B26" s="178">
        <f>B24+B23+B22+B21+B20+B16+B25</f>
        <v>1368884633.1200001</v>
      </c>
      <c r="C26" s="178">
        <f>C24+C23+C22+C21+C20+C16+C25</f>
        <v>1258395743.9499998</v>
      </c>
      <c r="D26" s="176">
        <f>D16+D20+D23+D24+D21+D22</f>
        <v>1258395743.9499998</v>
      </c>
      <c r="E26" s="176"/>
      <c r="F26" s="176">
        <f>F16+F20+F23+F24+F21+F22</f>
        <v>1231349436.8</v>
      </c>
    </row>
    <row r="27" spans="1:8">
      <c r="A27" s="174"/>
      <c r="B27" s="180"/>
      <c r="C27" s="180"/>
      <c r="D27" s="69"/>
      <c r="E27" s="69"/>
      <c r="F27" s="69"/>
    </row>
    <row r="28" spans="1:8" ht="22.8">
      <c r="A28" s="174" t="s">
        <v>399</v>
      </c>
      <c r="B28" s="180"/>
      <c r="C28" s="180"/>
      <c r="D28" s="41">
        <v>0</v>
      </c>
      <c r="E28" s="69"/>
      <c r="F28" s="41">
        <v>10176</v>
      </c>
    </row>
    <row r="29" spans="1:8" ht="22.8">
      <c r="A29" s="174" t="s">
        <v>400</v>
      </c>
      <c r="B29" s="180">
        <v>91230212.700000003</v>
      </c>
      <c r="C29" s="180">
        <v>1042326.28</v>
      </c>
      <c r="D29" s="41">
        <f>'PiR-popis'!D168</f>
        <v>1042326.28</v>
      </c>
      <c r="E29" s="177"/>
      <c r="F29" s="41">
        <f>'PiR-popis'!E168-F28</f>
        <v>5596193.1500000004</v>
      </c>
    </row>
    <row r="30" spans="1:8">
      <c r="A30" s="174" t="s">
        <v>384</v>
      </c>
      <c r="B30" s="180">
        <v>392609.93</v>
      </c>
      <c r="C30" s="180">
        <v>636807.38</v>
      </c>
      <c r="D30" s="177">
        <f>'PiR-popis'!D171</f>
        <v>636807.38</v>
      </c>
      <c r="E30" s="177"/>
      <c r="F30" s="177">
        <v>1004092.19</v>
      </c>
    </row>
    <row r="31" spans="1:8">
      <c r="A31" s="174" t="s">
        <v>385</v>
      </c>
      <c r="B31" s="180">
        <v>623532.25</v>
      </c>
      <c r="C31" s="180">
        <v>961560.66</v>
      </c>
      <c r="D31" s="177">
        <f>'PiR-popis'!D172+'PiR-popis'!D173</f>
        <v>961560.65999999992</v>
      </c>
      <c r="E31" s="177"/>
      <c r="F31" s="177">
        <v>7491943.2300000004</v>
      </c>
    </row>
    <row r="32" spans="1:8" ht="12">
      <c r="A32" s="175" t="s">
        <v>386</v>
      </c>
      <c r="B32" s="178">
        <f>SUM(B29:B31)</f>
        <v>92246354.88000001</v>
      </c>
      <c r="C32" s="178">
        <f>SUM(C29:C31)</f>
        <v>2640694.3200000003</v>
      </c>
      <c r="D32" s="178">
        <f>SUM(D28:D31)</f>
        <v>2640694.3200000003</v>
      </c>
      <c r="E32" s="179"/>
      <c r="F32" s="178">
        <f>SUM(F28:F31)</f>
        <v>14102404.57</v>
      </c>
    </row>
    <row r="33" spans="1:6">
      <c r="A33" s="174"/>
      <c r="B33" s="180"/>
      <c r="C33" s="180"/>
      <c r="D33" s="180"/>
      <c r="E33" s="180"/>
      <c r="F33" s="180"/>
    </row>
    <row r="34" spans="1:6" ht="22.8">
      <c r="A34" s="174" t="s">
        <v>401</v>
      </c>
      <c r="B34" s="180">
        <v>1029033.8499999997</v>
      </c>
      <c r="C34" s="180">
        <v>502272.1</v>
      </c>
      <c r="D34" s="41">
        <f>'PiR-popis'!D180</f>
        <v>210335.73</v>
      </c>
      <c r="E34" s="177"/>
      <c r="F34" s="41">
        <v>342910.55999999994</v>
      </c>
    </row>
    <row r="35" spans="1:6">
      <c r="A35" s="174" t="s">
        <v>387</v>
      </c>
      <c r="B35" s="180">
        <v>6791772.7600000007</v>
      </c>
      <c r="C35" s="180">
        <v>4246543.03</v>
      </c>
      <c r="D35" s="177">
        <f>'PiR-popis'!D183</f>
        <v>4538479.4000000004</v>
      </c>
      <c r="E35" s="177"/>
      <c r="F35" s="177">
        <v>4177678.63</v>
      </c>
    </row>
    <row r="36" spans="1:6">
      <c r="A36" s="174" t="s">
        <v>388</v>
      </c>
      <c r="B36" s="180">
        <v>1609474.26</v>
      </c>
      <c r="C36" s="180">
        <v>2842250.39</v>
      </c>
      <c r="D36" s="177">
        <f>'PiR-popis'!D184</f>
        <v>2842250.3899999997</v>
      </c>
      <c r="E36" s="177"/>
      <c r="F36" s="177">
        <v>4508231.18</v>
      </c>
    </row>
    <row r="37" spans="1:6">
      <c r="A37" s="174" t="s">
        <v>389</v>
      </c>
      <c r="B37" s="180">
        <v>935517.84</v>
      </c>
      <c r="C37" s="180">
        <v>1155395.6299999999</v>
      </c>
      <c r="D37" s="177">
        <f>'PiR-popis'!D187</f>
        <v>1155395.6299999999</v>
      </c>
      <c r="E37" s="177"/>
      <c r="F37" s="177">
        <v>1181992.5900000001</v>
      </c>
    </row>
    <row r="38" spans="1:6" ht="12">
      <c r="A38" s="175" t="s">
        <v>390</v>
      </c>
      <c r="B38" s="178">
        <f>SUM(B34:B37)</f>
        <v>10365798.710000001</v>
      </c>
      <c r="C38" s="178">
        <f>SUM(C34:C37)</f>
        <v>8746461.1499999985</v>
      </c>
      <c r="D38" s="176">
        <f>SUM(D34:D37)</f>
        <v>8746461.1500000004</v>
      </c>
      <c r="E38" s="177"/>
      <c r="F38" s="176">
        <f>SUM(F34:F37)</f>
        <v>10210812.959999999</v>
      </c>
    </row>
    <row r="39" spans="1:6" ht="12">
      <c r="A39" s="175"/>
      <c r="B39" s="178"/>
      <c r="C39" s="178"/>
      <c r="D39" s="176"/>
      <c r="E39" s="177"/>
      <c r="F39" s="176"/>
    </row>
    <row r="40" spans="1:6" ht="12">
      <c r="A40" s="70" t="s">
        <v>391</v>
      </c>
      <c r="B40" s="73">
        <f>B11+B32</f>
        <v>1610570007.8400002</v>
      </c>
      <c r="C40" s="73">
        <f>C11+C32</f>
        <v>1270602463.6600001</v>
      </c>
      <c r="D40" s="71">
        <f>D11+D32</f>
        <v>1270602463.6599998</v>
      </c>
      <c r="E40" s="72"/>
      <c r="F40" s="71">
        <f>F11+F32</f>
        <v>1242266608.5799999</v>
      </c>
    </row>
    <row r="41" spans="1:6" ht="12">
      <c r="A41" s="70" t="s">
        <v>392</v>
      </c>
      <c r="B41" s="73">
        <f>B26+B38</f>
        <v>1379250431.8300002</v>
      </c>
      <c r="C41" s="73">
        <f>C26+C38</f>
        <v>1267142205.0999999</v>
      </c>
      <c r="D41" s="73">
        <f>D26+D38</f>
        <v>1267142205.0999999</v>
      </c>
      <c r="E41" s="74"/>
      <c r="F41" s="73">
        <f>F26+F38</f>
        <v>1241560249.76</v>
      </c>
    </row>
    <row r="42" spans="1:6" ht="12">
      <c r="A42" s="184" t="s">
        <v>393</v>
      </c>
      <c r="B42" s="185">
        <f>B40-B41</f>
        <v>231319576.00999999</v>
      </c>
      <c r="C42" s="185">
        <f>C40-C41</f>
        <v>3460258.5600001812</v>
      </c>
      <c r="D42" s="185">
        <f>D40-D41</f>
        <v>3460258.5599999428</v>
      </c>
      <c r="E42" s="186"/>
      <c r="F42" s="185">
        <f>F40-F41</f>
        <v>706358.81999993324</v>
      </c>
    </row>
    <row r="43" spans="1:6">
      <c r="A43" s="187" t="s">
        <v>394</v>
      </c>
      <c r="B43" s="906">
        <v>110186507.3391</v>
      </c>
      <c r="C43" s="906">
        <v>0</v>
      </c>
      <c r="D43" s="188">
        <v>0</v>
      </c>
      <c r="E43" s="186"/>
      <c r="F43" s="188">
        <v>0</v>
      </c>
    </row>
    <row r="44" spans="1:6" ht="12">
      <c r="A44" s="184" t="s">
        <v>395</v>
      </c>
      <c r="B44" s="185">
        <f>B42-B43</f>
        <v>121133068.67089999</v>
      </c>
      <c r="C44" s="185">
        <f>C42-C43</f>
        <v>3460258.5600001812</v>
      </c>
      <c r="D44" s="185">
        <f>+D43+D42</f>
        <v>3460258.5599999428</v>
      </c>
      <c r="E44" s="186"/>
      <c r="F44" s="185">
        <f>F42</f>
        <v>706358.81999993324</v>
      </c>
    </row>
    <row r="45" spans="1:6" ht="12">
      <c r="A45" s="75" t="s">
        <v>396</v>
      </c>
      <c r="B45" s="907">
        <f>B44</f>
        <v>121133068.67089999</v>
      </c>
      <c r="C45" s="907">
        <f>C44</f>
        <v>3460258.5600001812</v>
      </c>
      <c r="D45" s="45">
        <f>D44</f>
        <v>3460258.5599999428</v>
      </c>
      <c r="E45" s="74"/>
      <c r="F45" s="45">
        <f>F44</f>
        <v>706358.81999993324</v>
      </c>
    </row>
    <row r="47" spans="1:6">
      <c r="D47" s="76">
        <f>D45-Bilanca!D46</f>
        <v>-5.7276338338851929E-8</v>
      </c>
      <c r="F47" s="76">
        <f>+F45-'[1]Bilanca  2021-2020 lp'!E56</f>
        <v>-6.6705979406833649E-8</v>
      </c>
    </row>
    <row r="48" spans="1:6">
      <c r="D48" s="76"/>
      <c r="F48" s="76"/>
    </row>
  </sheetData>
  <mergeCells count="4">
    <mergeCell ref="D1:D2"/>
    <mergeCell ref="F1:F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3334-BAD1-430F-A097-6E53520ED1EB}">
  <dimension ref="A1:O254"/>
  <sheetViews>
    <sheetView tabSelected="1" topLeftCell="A178" workbookViewId="0">
      <selection activeCell="H179" sqref="H179"/>
    </sheetView>
  </sheetViews>
  <sheetFormatPr defaultRowHeight="14.4"/>
  <cols>
    <col min="1" max="1" width="2" customWidth="1"/>
    <col min="2" max="2" width="58.109375" bestFit="1" customWidth="1"/>
    <col min="3" max="3" width="18.6640625" style="81" customWidth="1"/>
    <col min="4" max="5" width="17.88671875" bestFit="1" customWidth="1"/>
    <col min="6" max="7" width="11.6640625" bestFit="1" customWidth="1"/>
    <col min="8" max="8" width="16.44140625" customWidth="1"/>
    <col min="9" max="9" width="16.21875" customWidth="1"/>
    <col min="10" max="10" width="11.6640625" bestFit="1" customWidth="1"/>
    <col min="11" max="11" width="11.88671875" bestFit="1" customWidth="1"/>
    <col min="12" max="12" width="12.21875" bestFit="1" customWidth="1"/>
    <col min="13" max="13" width="10.109375" bestFit="1" customWidth="1"/>
    <col min="14" max="14" width="11" bestFit="1" customWidth="1"/>
  </cols>
  <sheetData>
    <row r="1" spans="2:14" ht="15" thickBot="1"/>
    <row r="2" spans="2:14" ht="86.4">
      <c r="B2" s="692"/>
      <c r="C2" s="928" t="s">
        <v>976</v>
      </c>
      <c r="D2" s="727" t="s">
        <v>421</v>
      </c>
      <c r="E2" s="728" t="s">
        <v>422</v>
      </c>
      <c r="F2" s="729" t="s">
        <v>924</v>
      </c>
      <c r="G2" s="730" t="s">
        <v>925</v>
      </c>
      <c r="H2" s="730" t="s">
        <v>995</v>
      </c>
      <c r="I2" s="730" t="s">
        <v>997</v>
      </c>
      <c r="J2" s="730" t="s">
        <v>996</v>
      </c>
      <c r="K2" s="731" t="s">
        <v>775</v>
      </c>
    </row>
    <row r="3" spans="2:14">
      <c r="B3" s="732"/>
      <c r="C3" s="929"/>
      <c r="D3" s="104"/>
      <c r="E3" s="583"/>
      <c r="F3" s="295"/>
      <c r="G3" s="104"/>
      <c r="H3" s="104"/>
      <c r="I3" s="104"/>
      <c r="J3" s="104"/>
      <c r="K3" s="733"/>
    </row>
    <row r="4" spans="2:14">
      <c r="B4" s="685" t="s">
        <v>804</v>
      </c>
      <c r="C4" s="514"/>
      <c r="E4" s="105"/>
      <c r="F4" s="101"/>
      <c r="K4" s="695"/>
    </row>
    <row r="5" spans="2:14">
      <c r="B5" s="734" t="s">
        <v>805</v>
      </c>
      <c r="C5" s="930" t="s">
        <v>976</v>
      </c>
      <c r="D5" s="642" t="s">
        <v>421</v>
      </c>
      <c r="E5" s="516" t="s">
        <v>422</v>
      </c>
      <c r="F5" s="101"/>
      <c r="K5" s="695"/>
    </row>
    <row r="6" spans="2:14">
      <c r="B6" s="207" t="s">
        <v>776</v>
      </c>
      <c r="C6" s="191">
        <f>P!C6</f>
        <v>88300913.569999993</v>
      </c>
      <c r="D6" s="191">
        <f>P!E6</f>
        <v>86259304.030000001</v>
      </c>
      <c r="E6" s="517">
        <v>85220146.010000005</v>
      </c>
      <c r="F6" s="618"/>
      <c r="G6" s="81"/>
      <c r="H6" s="81"/>
      <c r="I6" s="81"/>
      <c r="J6" s="81"/>
      <c r="K6" s="696">
        <f>SUM(F6:J6)</f>
        <v>0</v>
      </c>
    </row>
    <row r="7" spans="2:14">
      <c r="B7" s="452" t="s">
        <v>777</v>
      </c>
      <c r="C7" s="206">
        <f>P!C8</f>
        <v>961301.93</v>
      </c>
      <c r="D7" s="206">
        <f>P!E8</f>
        <v>3277755</v>
      </c>
      <c r="E7" s="439">
        <v>4477540</v>
      </c>
      <c r="F7" s="618"/>
      <c r="G7" s="81"/>
      <c r="H7" s="81"/>
      <c r="I7" s="81"/>
      <c r="J7" s="81"/>
      <c r="K7" s="696">
        <f t="shared" ref="K7:K14" si="0">SUM(F7:J7)</f>
        <v>0</v>
      </c>
      <c r="M7" s="81"/>
    </row>
    <row r="8" spans="2:14">
      <c r="B8" s="453" t="s">
        <v>778</v>
      </c>
      <c r="C8" s="203">
        <f>P!C12</f>
        <v>8994501.9900000002</v>
      </c>
      <c r="D8" s="203">
        <f>P!E12</f>
        <v>10843639.689999999</v>
      </c>
      <c r="E8" s="519">
        <v>10885883.51</v>
      </c>
      <c r="F8" s="618"/>
      <c r="G8" s="81"/>
      <c r="H8" s="81"/>
      <c r="I8" s="81"/>
      <c r="J8" s="81"/>
      <c r="K8" s="696">
        <f t="shared" si="0"/>
        <v>0</v>
      </c>
      <c r="M8" s="81"/>
    </row>
    <row r="9" spans="2:14">
      <c r="B9" s="454" t="s">
        <v>779</v>
      </c>
      <c r="C9" s="455">
        <f>P!C14</f>
        <v>6902238.1399999997</v>
      </c>
      <c r="D9" s="455">
        <f>P!E14</f>
        <v>6971706.8499999996</v>
      </c>
      <c r="E9" s="520">
        <v>6941667.0499999998</v>
      </c>
      <c r="F9" s="618"/>
      <c r="G9" s="81"/>
      <c r="H9" s="81"/>
      <c r="I9" s="81"/>
      <c r="J9" s="81"/>
      <c r="K9" s="696">
        <f t="shared" si="0"/>
        <v>0</v>
      </c>
      <c r="M9" s="81"/>
    </row>
    <row r="10" spans="2:14">
      <c r="B10" s="413" t="s">
        <v>780</v>
      </c>
      <c r="C10" s="404">
        <f>P!C13</f>
        <v>1184533.45</v>
      </c>
      <c r="D10" s="404">
        <f>P!E13</f>
        <v>1004937.11</v>
      </c>
      <c r="E10" s="417">
        <v>1132233.28</v>
      </c>
      <c r="F10" s="618"/>
      <c r="G10" s="81"/>
      <c r="H10" s="81"/>
      <c r="I10" s="81"/>
      <c r="J10" s="81"/>
      <c r="K10" s="696">
        <f t="shared" si="0"/>
        <v>0</v>
      </c>
      <c r="M10" s="81"/>
    </row>
    <row r="11" spans="2:14">
      <c r="B11" s="456" t="s">
        <v>781</v>
      </c>
      <c r="C11" s="457">
        <f>P!C15</f>
        <v>897272.76</v>
      </c>
      <c r="D11" s="457">
        <f>P!E15</f>
        <v>1008813.79</v>
      </c>
      <c r="E11" s="521">
        <v>785868.57</v>
      </c>
      <c r="F11" s="618"/>
      <c r="G11" s="81"/>
      <c r="H11" s="81"/>
      <c r="I11" s="81"/>
      <c r="J11" s="81"/>
      <c r="K11" s="696">
        <f t="shared" si="0"/>
        <v>0</v>
      </c>
      <c r="M11" s="81"/>
    </row>
    <row r="12" spans="2:14">
      <c r="B12" s="277" t="s">
        <v>782</v>
      </c>
      <c r="C12" s="204">
        <f>P!C9</f>
        <v>0</v>
      </c>
      <c r="D12" s="204">
        <f>P!E9</f>
        <v>0</v>
      </c>
      <c r="E12" s="278">
        <v>211583.53</v>
      </c>
      <c r="F12" s="618"/>
      <c r="G12" s="81"/>
      <c r="H12" s="81"/>
      <c r="I12" s="81"/>
      <c r="J12" s="81"/>
      <c r="K12" s="696">
        <f t="shared" si="0"/>
        <v>0</v>
      </c>
      <c r="M12" s="81"/>
    </row>
    <row r="13" spans="2:14">
      <c r="B13" s="86" t="s">
        <v>783</v>
      </c>
      <c r="C13" s="87">
        <f>P!C22</f>
        <v>4339393.0299999993</v>
      </c>
      <c r="D13" s="87">
        <f>P!E22</f>
        <v>4486737.1899999995</v>
      </c>
      <c r="E13" s="251">
        <v>5860354.25</v>
      </c>
      <c r="F13" s="618"/>
      <c r="G13" s="81"/>
      <c r="H13" s="81"/>
      <c r="I13" s="81"/>
      <c r="J13" s="81"/>
      <c r="K13" s="696">
        <f t="shared" si="0"/>
        <v>0</v>
      </c>
      <c r="M13" s="81"/>
    </row>
    <row r="14" spans="2:14">
      <c r="B14" s="454" t="s">
        <v>784</v>
      </c>
      <c r="C14" s="455">
        <f>P!C25</f>
        <v>789411.23</v>
      </c>
      <c r="D14" s="455">
        <f>P!E25</f>
        <v>902314.58</v>
      </c>
      <c r="E14" s="520">
        <v>615897.69999999995</v>
      </c>
      <c r="F14" s="618"/>
      <c r="G14" s="81"/>
      <c r="H14" s="81"/>
      <c r="I14" s="81"/>
      <c r="J14" s="81"/>
      <c r="K14" s="696">
        <f t="shared" si="0"/>
        <v>0</v>
      </c>
      <c r="M14" s="81"/>
    </row>
    <row r="15" spans="2:14">
      <c r="B15" s="458" t="s">
        <v>912</v>
      </c>
      <c r="C15" s="193">
        <f>P!C23</f>
        <v>44621.82</v>
      </c>
      <c r="D15" s="641">
        <f>P!E23</f>
        <v>149463.38</v>
      </c>
      <c r="E15" s="522"/>
      <c r="F15" s="913"/>
      <c r="G15" s="912"/>
      <c r="H15" s="912"/>
      <c r="I15" s="912"/>
      <c r="J15" s="912"/>
      <c r="K15" s="914">
        <f t="shared" ref="K15:K18" si="1">SUM(F15:J15)</f>
        <v>0</v>
      </c>
    </row>
    <row r="16" spans="2:14">
      <c r="B16" s="211" t="s">
        <v>785</v>
      </c>
      <c r="C16" s="212">
        <f>P!C5</f>
        <v>108091.58</v>
      </c>
      <c r="D16" s="212">
        <f>P!E5</f>
        <v>182744.44</v>
      </c>
      <c r="E16" s="447">
        <v>277820.67000000004</v>
      </c>
      <c r="F16" s="618"/>
      <c r="G16" s="81"/>
      <c r="H16" s="81"/>
      <c r="I16" s="81"/>
      <c r="J16" s="81"/>
      <c r="K16" s="696">
        <f t="shared" si="1"/>
        <v>0</v>
      </c>
      <c r="M16" s="915"/>
      <c r="N16" s="915"/>
    </row>
    <row r="17" spans="2:14">
      <c r="B17" s="459" t="s">
        <v>786</v>
      </c>
      <c r="C17" s="460">
        <f>P!C24</f>
        <v>0</v>
      </c>
      <c r="D17" s="460">
        <f>P!E24</f>
        <v>0</v>
      </c>
      <c r="E17" s="523">
        <v>0</v>
      </c>
      <c r="F17" s="618"/>
      <c r="G17" s="81"/>
      <c r="H17" s="81"/>
      <c r="I17" s="81"/>
      <c r="J17" s="81"/>
      <c r="K17" s="696">
        <f t="shared" si="1"/>
        <v>0</v>
      </c>
      <c r="M17" s="916"/>
      <c r="N17" s="916"/>
    </row>
    <row r="18" spans="2:14">
      <c r="B18" s="84" t="s">
        <v>787</v>
      </c>
      <c r="C18" s="85">
        <f>P!C11</f>
        <v>416967.36</v>
      </c>
      <c r="D18" s="85">
        <f>P!E11</f>
        <v>550098.03</v>
      </c>
      <c r="E18" s="524">
        <v>520281.39</v>
      </c>
      <c r="F18" s="618"/>
      <c r="G18" s="81"/>
      <c r="H18" s="81"/>
      <c r="I18" s="81"/>
      <c r="J18" s="81"/>
      <c r="K18" s="696">
        <f t="shared" si="1"/>
        <v>0</v>
      </c>
      <c r="M18" s="189"/>
      <c r="N18" s="189"/>
    </row>
    <row r="19" spans="2:14">
      <c r="B19" s="936" t="s">
        <v>975</v>
      </c>
      <c r="C19" s="937">
        <f>P!C26</f>
        <v>0</v>
      </c>
      <c r="D19" s="937">
        <f>P!D26</f>
        <v>12405.6</v>
      </c>
      <c r="E19" s="938"/>
      <c r="F19" s="618"/>
      <c r="G19" s="81"/>
      <c r="H19" s="81"/>
      <c r="I19" s="81"/>
      <c r="J19" s="81"/>
      <c r="K19" s="696"/>
      <c r="M19" s="189"/>
      <c r="N19" s="189"/>
    </row>
    <row r="20" spans="2:14">
      <c r="B20" s="752" t="s">
        <v>53</v>
      </c>
      <c r="C20" s="461">
        <f>SUM(C6:C19)</f>
        <v>112939246.86</v>
      </c>
      <c r="D20" s="461">
        <f>SUM(D6:D19)</f>
        <v>115649919.68999998</v>
      </c>
      <c r="E20" s="394">
        <f t="shared" ref="E20:K20" si="2">SUM(E6:E18)</f>
        <v>116929275.96000001</v>
      </c>
      <c r="F20" s="587">
        <f>SUM(F6:F18)</f>
        <v>0</v>
      </c>
      <c r="G20" s="461">
        <f t="shared" ref="G20" si="3">SUM(G6:G18)</f>
        <v>0</v>
      </c>
      <c r="H20" s="461">
        <f t="shared" si="2"/>
        <v>0</v>
      </c>
      <c r="I20" s="461">
        <f t="shared" si="2"/>
        <v>0</v>
      </c>
      <c r="J20" s="461">
        <f t="shared" si="2"/>
        <v>0</v>
      </c>
      <c r="K20" s="753">
        <f t="shared" si="2"/>
        <v>0</v>
      </c>
      <c r="M20" s="189"/>
      <c r="N20" s="189"/>
    </row>
    <row r="21" spans="2:14" s="921" customFormat="1" ht="12">
      <c r="B21" s="917"/>
      <c r="C21" s="918">
        <f>C20-RDG!B4</f>
        <v>0</v>
      </c>
      <c r="D21" s="918">
        <f>D20-RDG!D4</f>
        <v>0</v>
      </c>
      <c r="E21" s="919"/>
      <c r="F21" s="920"/>
      <c r="K21" s="922"/>
      <c r="M21" s="923"/>
      <c r="N21" s="923"/>
    </row>
    <row r="22" spans="2:14">
      <c r="B22" s="754" t="s">
        <v>810</v>
      </c>
      <c r="C22" s="930" t="s">
        <v>421</v>
      </c>
      <c r="D22" s="642" t="s">
        <v>421</v>
      </c>
      <c r="E22" s="516" t="s">
        <v>422</v>
      </c>
      <c r="F22" s="588"/>
      <c r="G22" s="642"/>
      <c r="H22" s="642"/>
      <c r="I22" s="642"/>
      <c r="J22" s="642"/>
      <c r="K22" s="725"/>
      <c r="M22" s="189"/>
      <c r="N22" s="189"/>
    </row>
    <row r="23" spans="2:14">
      <c r="B23" s="747" t="s">
        <v>776</v>
      </c>
      <c r="C23" s="193">
        <f>P!C33</f>
        <v>29892488.960000001</v>
      </c>
      <c r="D23" s="193">
        <f>P!E33</f>
        <v>26698179.25</v>
      </c>
      <c r="E23" s="525">
        <v>27313036.859999999</v>
      </c>
      <c r="F23" s="557"/>
      <c r="G23" s="193"/>
      <c r="H23" s="193"/>
      <c r="I23" s="193"/>
      <c r="J23" s="193"/>
      <c r="K23" s="755">
        <f>SUM(F23:J23)</f>
        <v>0</v>
      </c>
      <c r="M23" s="189"/>
      <c r="N23" s="189"/>
    </row>
    <row r="24" spans="2:14">
      <c r="B24" s="741" t="s">
        <v>778</v>
      </c>
      <c r="C24" s="404">
        <f>P!C36</f>
        <v>4321750.24</v>
      </c>
      <c r="D24" s="404">
        <f>P!E36</f>
        <v>3510936.82</v>
      </c>
      <c r="E24" s="417">
        <v>3299724.75</v>
      </c>
      <c r="F24" s="578"/>
      <c r="G24" s="404"/>
      <c r="H24" s="404"/>
      <c r="I24" s="404"/>
      <c r="J24" s="404"/>
      <c r="K24" s="742">
        <f t="shared" ref="K24:K35" si="4">SUM(F24:J24)</f>
        <v>0</v>
      </c>
      <c r="M24" s="189"/>
      <c r="N24" s="189"/>
    </row>
    <row r="25" spans="2:14">
      <c r="B25" s="745" t="s">
        <v>780</v>
      </c>
      <c r="C25" s="87">
        <f>P!C37</f>
        <v>885353.62</v>
      </c>
      <c r="D25" s="87">
        <f>P!E37</f>
        <v>1196152.08</v>
      </c>
      <c r="E25" s="251">
        <v>1249602.5900000001</v>
      </c>
      <c r="F25" s="577"/>
      <c r="G25" s="87"/>
      <c r="H25" s="87"/>
      <c r="I25" s="87"/>
      <c r="J25" s="87"/>
      <c r="K25" s="746">
        <f t="shared" si="4"/>
        <v>0</v>
      </c>
      <c r="M25" s="189"/>
      <c r="N25" s="189"/>
    </row>
    <row r="26" spans="2:14">
      <c r="B26" s="756" t="s">
        <v>812</v>
      </c>
      <c r="C26" s="468">
        <f>P!C34</f>
        <v>84000</v>
      </c>
      <c r="D26" s="468">
        <f>P!E34</f>
        <v>84000</v>
      </c>
      <c r="E26" s="526">
        <v>84000</v>
      </c>
      <c r="F26" s="589"/>
      <c r="G26" s="468"/>
      <c r="H26" s="468"/>
      <c r="I26" s="468"/>
      <c r="J26" s="468"/>
      <c r="K26" s="757">
        <f t="shared" si="4"/>
        <v>0</v>
      </c>
      <c r="M26" s="189"/>
      <c r="N26" s="189"/>
    </row>
    <row r="27" spans="2:14">
      <c r="B27" s="758" t="s">
        <v>781</v>
      </c>
      <c r="C27" s="90">
        <f>P!C39</f>
        <v>720420.54</v>
      </c>
      <c r="D27" s="90">
        <f>P!E39</f>
        <v>650200.72</v>
      </c>
      <c r="E27" s="256">
        <v>357746.35</v>
      </c>
      <c r="F27" s="590"/>
      <c r="G27" s="90"/>
      <c r="H27" s="90"/>
      <c r="I27" s="90"/>
      <c r="J27" s="90"/>
      <c r="K27" s="759">
        <f t="shared" si="4"/>
        <v>0</v>
      </c>
      <c r="M27" s="189"/>
      <c r="N27" s="189"/>
    </row>
    <row r="28" spans="2:14">
      <c r="B28" s="737" t="s">
        <v>783</v>
      </c>
      <c r="C28" s="399">
        <f>P!C41</f>
        <v>13865296.57</v>
      </c>
      <c r="D28" s="399">
        <f>P!E41</f>
        <v>17304198.030000001</v>
      </c>
      <c r="E28" s="518">
        <v>15327931.449999999</v>
      </c>
      <c r="F28" s="576"/>
      <c r="G28" s="399"/>
      <c r="H28" s="399"/>
      <c r="I28" s="399"/>
      <c r="J28" s="399"/>
      <c r="K28" s="738">
        <f t="shared" si="4"/>
        <v>0</v>
      </c>
      <c r="M28" s="189"/>
      <c r="N28" s="189"/>
    </row>
    <row r="29" spans="2:14">
      <c r="B29" s="739" t="s">
        <v>784</v>
      </c>
      <c r="C29" s="455">
        <f>P!C47</f>
        <v>59159.969999999972</v>
      </c>
      <c r="D29" s="455">
        <f>P!E47</f>
        <v>56760</v>
      </c>
      <c r="E29" s="520">
        <v>208071.8600000001</v>
      </c>
      <c r="F29" s="584"/>
      <c r="G29" s="455"/>
      <c r="H29" s="455"/>
      <c r="I29" s="455"/>
      <c r="J29" s="455"/>
      <c r="K29" s="740">
        <f t="shared" si="4"/>
        <v>0</v>
      </c>
      <c r="M29" s="189"/>
      <c r="N29" s="189"/>
    </row>
    <row r="30" spans="2:14">
      <c r="B30" s="760" t="s">
        <v>811</v>
      </c>
      <c r="C30" s="202">
        <f>P!C46</f>
        <v>4243555.25</v>
      </c>
      <c r="D30" s="202">
        <f>P!E46</f>
        <v>3844083.84</v>
      </c>
      <c r="E30" s="527">
        <v>3567471.72</v>
      </c>
      <c r="F30" s="566"/>
      <c r="G30" s="202"/>
      <c r="H30" s="202"/>
      <c r="I30" s="202"/>
      <c r="J30" s="202"/>
      <c r="K30" s="761">
        <f t="shared" si="4"/>
        <v>0</v>
      </c>
      <c r="M30" s="189"/>
      <c r="N30" s="189"/>
    </row>
    <row r="31" spans="2:14">
      <c r="B31" s="735" t="s">
        <v>785</v>
      </c>
      <c r="C31" s="191">
        <f>P!C31</f>
        <v>686042.9</v>
      </c>
      <c r="D31" s="191">
        <f>P!E31</f>
        <v>337104.99</v>
      </c>
      <c r="E31" s="517">
        <v>753347.07</v>
      </c>
      <c r="F31" s="555"/>
      <c r="G31" s="191"/>
      <c r="H31" s="191"/>
      <c r="I31" s="191"/>
      <c r="J31" s="191"/>
      <c r="K31" s="736">
        <f t="shared" si="4"/>
        <v>0</v>
      </c>
    </row>
    <row r="32" spans="2:14">
      <c r="B32" s="748" t="s">
        <v>786</v>
      </c>
      <c r="C32" s="212">
        <f>P!C49</f>
        <v>6827258.1799999997</v>
      </c>
      <c r="D32" s="212">
        <f>P!E49</f>
        <v>10857380.390000001</v>
      </c>
      <c r="E32" s="447">
        <v>4725524.13</v>
      </c>
      <c r="F32" s="585"/>
      <c r="G32" s="212"/>
      <c r="H32" s="212"/>
      <c r="I32" s="212"/>
      <c r="J32" s="212"/>
      <c r="K32" s="749">
        <f t="shared" si="4"/>
        <v>0</v>
      </c>
    </row>
    <row r="33" spans="2:11">
      <c r="B33" s="750" t="s">
        <v>787</v>
      </c>
      <c r="C33" s="85">
        <f>P!C44</f>
        <v>91885.319999999992</v>
      </c>
      <c r="D33" s="85">
        <f>P!E44</f>
        <v>59811.740000000005</v>
      </c>
      <c r="E33" s="524">
        <v>141039.85</v>
      </c>
      <c r="F33" s="586"/>
      <c r="G33" s="85"/>
      <c r="H33" s="85"/>
      <c r="I33" s="85"/>
      <c r="J33" s="85"/>
      <c r="K33" s="751">
        <f t="shared" si="4"/>
        <v>0</v>
      </c>
    </row>
    <row r="34" spans="2:11">
      <c r="B34" s="743" t="s">
        <v>979</v>
      </c>
      <c r="C34" s="204">
        <f>P!B45</f>
        <v>3828916.66</v>
      </c>
      <c r="D34" s="204"/>
      <c r="E34" s="278"/>
      <c r="F34" s="567"/>
      <c r="G34" s="204"/>
      <c r="H34" s="204"/>
      <c r="I34" s="204"/>
      <c r="J34" s="204"/>
      <c r="K34" s="744"/>
    </row>
    <row r="35" spans="2:11">
      <c r="B35" s="752" t="s">
        <v>53</v>
      </c>
      <c r="C35" s="469">
        <f>SUM(C23:C34)</f>
        <v>65506128.209999993</v>
      </c>
      <c r="D35" s="469">
        <f t="shared" ref="D35:E35" si="5">SUM(D23:D34)</f>
        <v>64598807.859999999</v>
      </c>
      <c r="E35" s="469">
        <f t="shared" si="5"/>
        <v>57027496.630000003</v>
      </c>
      <c r="F35" s="591">
        <f>SUM(F23:F33)</f>
        <v>0</v>
      </c>
      <c r="G35" s="469">
        <f t="shared" ref="G35" si="6">SUM(G23:G33)</f>
        <v>0</v>
      </c>
      <c r="H35" s="469">
        <f t="shared" ref="F35:J35" si="7">SUM(H23:H33)</f>
        <v>0</v>
      </c>
      <c r="I35" s="469">
        <f t="shared" si="7"/>
        <v>0</v>
      </c>
      <c r="J35" s="469">
        <f t="shared" si="7"/>
        <v>0</v>
      </c>
      <c r="K35" s="762">
        <f t="shared" si="4"/>
        <v>0</v>
      </c>
    </row>
    <row r="36" spans="2:11">
      <c r="B36" s="694"/>
      <c r="C36" s="81">
        <f>C35-RDG!B5</f>
        <v>0</v>
      </c>
      <c r="D36" s="81">
        <f>D35-RDG!D5</f>
        <v>0</v>
      </c>
      <c r="E36" s="105"/>
      <c r="F36" s="101"/>
      <c r="K36" s="695"/>
    </row>
    <row r="37" spans="2:11">
      <c r="B37" s="754" t="s">
        <v>827</v>
      </c>
      <c r="C37" s="88"/>
      <c r="D37" s="642" t="s">
        <v>421</v>
      </c>
      <c r="E37" s="516" t="s">
        <v>422</v>
      </c>
      <c r="F37" s="588"/>
      <c r="G37" s="642"/>
      <c r="H37" s="642"/>
      <c r="I37" s="642"/>
      <c r="J37" s="642"/>
      <c r="K37" s="725"/>
    </row>
    <row r="38" spans="2:11">
      <c r="B38" s="745" t="s">
        <v>828</v>
      </c>
      <c r="C38" s="87">
        <f>P!B55</f>
        <v>531000000</v>
      </c>
      <c r="D38" s="87">
        <f>P!E55</f>
        <v>475497000</v>
      </c>
      <c r="E38" s="529">
        <v>445000000</v>
      </c>
      <c r="F38" s="592"/>
      <c r="G38" s="643"/>
      <c r="H38" s="643"/>
      <c r="I38" s="643"/>
      <c r="J38" s="643"/>
      <c r="K38" s="763">
        <f t="shared" ref="K38:K54" si="8">SUM(F38:J38)</f>
        <v>0</v>
      </c>
    </row>
    <row r="39" spans="2:11">
      <c r="B39" s="735" t="s">
        <v>829</v>
      </c>
      <c r="C39" s="191">
        <f>P!C57</f>
        <v>520000000</v>
      </c>
      <c r="D39" s="191">
        <f>P!E57</f>
        <v>485044574</v>
      </c>
      <c r="E39" s="530">
        <v>445134400.56</v>
      </c>
      <c r="F39" s="593"/>
      <c r="G39" s="644"/>
      <c r="H39" s="644"/>
      <c r="I39" s="644"/>
      <c r="J39" s="644"/>
      <c r="K39" s="764">
        <f t="shared" si="8"/>
        <v>0</v>
      </c>
    </row>
    <row r="40" spans="2:11">
      <c r="B40" s="737" t="s">
        <v>830</v>
      </c>
      <c r="C40" s="399">
        <f>P!C59</f>
        <v>34426076.399999999</v>
      </c>
      <c r="D40" s="399">
        <f>P!E59</f>
        <v>34426076.399999999</v>
      </c>
      <c r="E40" s="531">
        <v>34426076.399999999</v>
      </c>
      <c r="F40" s="594"/>
      <c r="G40" s="645"/>
      <c r="H40" s="645"/>
      <c r="I40" s="645"/>
      <c r="J40" s="645"/>
      <c r="K40" s="765">
        <f t="shared" si="8"/>
        <v>0</v>
      </c>
    </row>
    <row r="41" spans="2:11">
      <c r="B41" s="766" t="s">
        <v>832</v>
      </c>
      <c r="C41" s="201">
        <f>P!C86</f>
        <v>11461859.949999999</v>
      </c>
      <c r="D41" s="201">
        <f>P!E86</f>
        <v>23712589.450000003</v>
      </c>
      <c r="E41" s="532">
        <v>17008573.960000001</v>
      </c>
      <c r="F41" s="595"/>
      <c r="G41" s="646"/>
      <c r="H41" s="646"/>
      <c r="I41" s="646"/>
      <c r="J41" s="646"/>
      <c r="K41" s="767">
        <f t="shared" si="8"/>
        <v>0</v>
      </c>
    </row>
    <row r="42" spans="2:11">
      <c r="B42" s="739" t="s">
        <v>833</v>
      </c>
      <c r="C42" s="455">
        <f>P!C73</f>
        <v>2255119.5299999998</v>
      </c>
      <c r="D42" s="455">
        <f>P!E73</f>
        <v>2368411.2400000002</v>
      </c>
      <c r="E42" s="533">
        <v>2783964.2199999997</v>
      </c>
      <c r="F42" s="596"/>
      <c r="G42" s="647"/>
      <c r="H42" s="647"/>
      <c r="I42" s="647"/>
      <c r="J42" s="647"/>
      <c r="K42" s="768">
        <f t="shared" si="8"/>
        <v>0</v>
      </c>
    </row>
    <row r="43" spans="2:11">
      <c r="B43" s="769" t="s">
        <v>834</v>
      </c>
      <c r="C43" s="200">
        <f>P!C67</f>
        <v>3539848.08</v>
      </c>
      <c r="D43" s="200">
        <f>P!E67</f>
        <v>6598327.6799999997</v>
      </c>
      <c r="E43" s="534">
        <v>2170769.5499999998</v>
      </c>
      <c r="F43" s="597"/>
      <c r="G43" s="648"/>
      <c r="H43" s="648"/>
      <c r="I43" s="648"/>
      <c r="J43" s="648"/>
      <c r="K43" s="770">
        <f t="shared" si="8"/>
        <v>0</v>
      </c>
    </row>
    <row r="44" spans="2:11">
      <c r="B44" s="771" t="s">
        <v>835</v>
      </c>
      <c r="C44" s="772"/>
      <c r="D44" s="772">
        <v>0</v>
      </c>
      <c r="E44" s="535">
        <v>0</v>
      </c>
      <c r="F44" s="598"/>
      <c r="G44" s="649"/>
      <c r="H44" s="649"/>
      <c r="I44" s="649"/>
      <c r="J44" s="649"/>
      <c r="K44" s="773">
        <f t="shared" si="8"/>
        <v>0</v>
      </c>
    </row>
    <row r="45" spans="2:11" s="1043" customFormat="1" ht="18">
      <c r="B45" s="1048" t="s">
        <v>836</v>
      </c>
      <c r="C45" s="1049">
        <f>P!C68</f>
        <v>982264.38</v>
      </c>
      <c r="D45" s="1049">
        <f>P!E68</f>
        <v>998157.58</v>
      </c>
      <c r="E45" s="1050">
        <v>890337.91</v>
      </c>
      <c r="F45" s="1051"/>
      <c r="G45" s="1052"/>
      <c r="H45" s="1052"/>
      <c r="I45" s="1052"/>
      <c r="J45" s="1052"/>
      <c r="K45" s="1053">
        <f t="shared" si="8"/>
        <v>0</v>
      </c>
    </row>
    <row r="46" spans="2:11" s="1043" customFormat="1" ht="18">
      <c r="B46" s="1054"/>
      <c r="C46" s="1044"/>
      <c r="D46" s="1044"/>
      <c r="E46" s="1055"/>
      <c r="F46" s="1056"/>
      <c r="G46" s="1057"/>
      <c r="H46" s="1057"/>
      <c r="I46" s="1057"/>
      <c r="J46" s="1057"/>
      <c r="K46" s="1058">
        <f t="shared" si="8"/>
        <v>0</v>
      </c>
    </row>
    <row r="47" spans="2:11">
      <c r="B47" s="1062" t="s">
        <v>837</v>
      </c>
      <c r="C47" s="473">
        <f>P!C79</f>
        <v>1780062.71</v>
      </c>
      <c r="D47" s="473">
        <f>P!E79</f>
        <v>939236.57</v>
      </c>
      <c r="E47" s="536">
        <v>1593086.15</v>
      </c>
      <c r="F47" s="599"/>
      <c r="G47" s="651"/>
      <c r="H47" s="651"/>
      <c r="I47" s="651"/>
      <c r="J47" s="651"/>
      <c r="K47" s="775">
        <f t="shared" si="8"/>
        <v>0</v>
      </c>
    </row>
    <row r="48" spans="2:11">
      <c r="B48" s="1063" t="s">
        <v>838</v>
      </c>
      <c r="C48" s="475">
        <f>P!C65</f>
        <v>57951594.600000001</v>
      </c>
      <c r="D48" s="475">
        <f>P!E65</f>
        <v>21936480.720000003</v>
      </c>
      <c r="E48" s="537">
        <v>37804536.619999997</v>
      </c>
      <c r="F48" s="600"/>
      <c r="G48" s="652"/>
      <c r="H48" s="652"/>
      <c r="I48" s="652"/>
      <c r="J48" s="652"/>
      <c r="K48" s="776">
        <f t="shared" si="8"/>
        <v>0</v>
      </c>
    </row>
    <row r="49" spans="2:12">
      <c r="B49" s="1064" t="s">
        <v>839</v>
      </c>
      <c r="C49" s="199">
        <f>P!C74</f>
        <v>144808187.5</v>
      </c>
      <c r="D49" s="199">
        <f>P!E74</f>
        <v>4223423.05</v>
      </c>
      <c r="E49" s="538">
        <v>42327169.799999997</v>
      </c>
      <c r="F49" s="601"/>
      <c r="G49" s="653"/>
      <c r="H49" s="653"/>
      <c r="I49" s="653"/>
      <c r="J49" s="653"/>
      <c r="K49" s="777">
        <f t="shared" si="8"/>
        <v>0</v>
      </c>
    </row>
    <row r="50" spans="2:12">
      <c r="B50" s="778" t="s">
        <v>840</v>
      </c>
      <c r="C50" s="478">
        <f>P!C66</f>
        <v>1325036.03</v>
      </c>
      <c r="D50" s="478">
        <f>P!E66</f>
        <v>0</v>
      </c>
      <c r="E50" s="539">
        <v>0</v>
      </c>
      <c r="F50" s="602"/>
      <c r="G50" s="654"/>
      <c r="H50" s="654"/>
      <c r="I50" s="654"/>
      <c r="J50" s="654"/>
      <c r="K50" s="779">
        <f t="shared" si="8"/>
        <v>0</v>
      </c>
    </row>
    <row r="51" spans="2:12">
      <c r="B51" s="82" t="s">
        <v>841</v>
      </c>
      <c r="C51" s="83">
        <f>P!C58</f>
        <v>11390452.189999999</v>
      </c>
      <c r="D51" s="83">
        <f>P!E58</f>
        <v>8418143.8100000005</v>
      </c>
      <c r="E51" s="540">
        <v>4081264.08</v>
      </c>
      <c r="F51" s="603"/>
      <c r="G51" s="479"/>
      <c r="H51" s="479"/>
      <c r="I51" s="479"/>
      <c r="J51" s="479"/>
      <c r="K51" s="781">
        <f t="shared" si="8"/>
        <v>0</v>
      </c>
    </row>
    <row r="52" spans="2:12">
      <c r="B52" s="782" t="s">
        <v>842</v>
      </c>
      <c r="C52" s="192">
        <f>P!C83</f>
        <v>1369289.65</v>
      </c>
      <c r="D52" s="192">
        <f>P!E83</f>
        <v>40716.910000000003</v>
      </c>
      <c r="E52" s="541">
        <v>1254784.6599999999</v>
      </c>
      <c r="F52" s="556"/>
      <c r="G52" s="655"/>
      <c r="H52" s="655"/>
      <c r="I52" s="655"/>
      <c r="J52" s="655"/>
      <c r="K52" s="783">
        <f t="shared" si="8"/>
        <v>0</v>
      </c>
    </row>
    <row r="53" spans="2:12">
      <c r="B53" s="743" t="s">
        <v>843</v>
      </c>
      <c r="C53" s="204">
        <f>P!C76</f>
        <v>0</v>
      </c>
      <c r="D53" s="204">
        <f>P!E76</f>
        <v>7102067.3499999996</v>
      </c>
      <c r="E53" s="542">
        <v>5534884.5899999999</v>
      </c>
      <c r="F53" s="604"/>
      <c r="G53" s="656"/>
      <c r="H53" s="656"/>
      <c r="I53" s="656"/>
      <c r="J53" s="656"/>
      <c r="K53" s="784">
        <f t="shared" si="8"/>
        <v>0</v>
      </c>
    </row>
    <row r="54" spans="2:12">
      <c r="B54" s="750" t="s">
        <v>844</v>
      </c>
      <c r="C54" s="85">
        <f>P!C90</f>
        <v>8031689.1100000003</v>
      </c>
      <c r="D54" s="85">
        <f>P!E90</f>
        <v>5535272</v>
      </c>
      <c r="E54" s="543">
        <v>3255005.3499999996</v>
      </c>
      <c r="F54" s="605"/>
      <c r="G54" s="657"/>
      <c r="H54" s="657"/>
      <c r="I54" s="657"/>
      <c r="J54" s="657"/>
      <c r="K54" s="785">
        <f t="shared" si="8"/>
        <v>0</v>
      </c>
    </row>
    <row r="55" spans="2:12">
      <c r="B55" s="752" t="s">
        <v>53</v>
      </c>
      <c r="C55" s="469">
        <f>SUM(C38:C54)</f>
        <v>1330321480.1300001</v>
      </c>
      <c r="D55" s="469">
        <f>SUM(D38:D54)</f>
        <v>1076840476.76</v>
      </c>
      <c r="E55" s="528">
        <f>SUM(E38:E54)</f>
        <v>1043264853.8499999</v>
      </c>
      <c r="F55" s="591">
        <f>SUM(F38:F54)</f>
        <v>0</v>
      </c>
      <c r="G55" s="469">
        <f t="shared" ref="G55" si="9">SUM(G38:G54)</f>
        <v>0</v>
      </c>
      <c r="H55" s="469">
        <f t="shared" ref="F55:K55" si="10">SUM(H38:H54)</f>
        <v>0</v>
      </c>
      <c r="I55" s="469">
        <f t="shared" si="10"/>
        <v>0</v>
      </c>
      <c r="J55" s="469">
        <f t="shared" si="10"/>
        <v>0</v>
      </c>
      <c r="K55" s="762">
        <f>SUM(K38:K54)</f>
        <v>0</v>
      </c>
      <c r="L55" s="81"/>
    </row>
    <row r="56" spans="2:12">
      <c r="B56" s="694"/>
      <c r="C56" s="81">
        <f>C55-RDG!B8</f>
        <v>0</v>
      </c>
      <c r="D56" s="81">
        <f>D55-RDG!D8</f>
        <v>0</v>
      </c>
      <c r="E56" s="105"/>
      <c r="F56" s="101"/>
      <c r="K56" s="695"/>
    </row>
    <row r="57" spans="2:12">
      <c r="B57" s="685" t="s">
        <v>397</v>
      </c>
      <c r="C57" s="514"/>
      <c r="D57" s="81"/>
      <c r="E57" s="105"/>
      <c r="F57" s="101"/>
      <c r="K57" s="695"/>
    </row>
    <row r="58" spans="2:12">
      <c r="B58" s="760" t="s">
        <v>831</v>
      </c>
      <c r="C58" s="202">
        <f>P!B94</f>
        <v>1114.68</v>
      </c>
      <c r="D58" s="202">
        <f>P!E95</f>
        <v>9617862.3300000001</v>
      </c>
      <c r="E58" s="544">
        <v>8645568.5800000001</v>
      </c>
      <c r="F58" s="606"/>
      <c r="G58" s="658"/>
      <c r="H58" s="658"/>
      <c r="I58" s="658"/>
      <c r="J58" s="658"/>
      <c r="K58" s="786">
        <f t="shared" ref="K58:K59" si="11">SUM(F58:J58)</f>
        <v>0</v>
      </c>
    </row>
    <row r="59" spans="2:12">
      <c r="B59" s="750" t="s">
        <v>884</v>
      </c>
      <c r="C59" s="85">
        <f>P!B95</f>
        <v>8347289.4500000002</v>
      </c>
      <c r="D59" s="85">
        <v>14450</v>
      </c>
      <c r="E59" s="524">
        <f>E60-E58</f>
        <v>28126.900000000373</v>
      </c>
      <c r="F59" s="586"/>
      <c r="G59" s="85"/>
      <c r="H59" s="85"/>
      <c r="I59" s="85"/>
      <c r="J59" s="85"/>
      <c r="K59" s="751">
        <f t="shared" si="11"/>
        <v>0</v>
      </c>
    </row>
    <row r="60" spans="2:12">
      <c r="B60" s="752" t="s">
        <v>53</v>
      </c>
      <c r="C60" s="469">
        <f>SUM(C58:C59)</f>
        <v>8348404.1299999999</v>
      </c>
      <c r="D60" s="469">
        <f>SUM(D58:D59)</f>
        <v>9632312.3300000001</v>
      </c>
      <c r="E60" s="528">
        <f>RDG!F6</f>
        <v>8673695.4800000004</v>
      </c>
      <c r="F60" s="591">
        <f>SUM(F58:F59)</f>
        <v>0</v>
      </c>
      <c r="G60" s="469">
        <f>SUM(G58:G59)</f>
        <v>0</v>
      </c>
      <c r="H60" s="469">
        <f t="shared" ref="H60:J60" si="12">SUM(H58:H59)</f>
        <v>0</v>
      </c>
      <c r="I60" s="469">
        <f t="shared" si="12"/>
        <v>0</v>
      </c>
      <c r="J60" s="469">
        <f t="shared" si="12"/>
        <v>0</v>
      </c>
      <c r="K60" s="762">
        <f>SUM(K58:K59)</f>
        <v>0</v>
      </c>
    </row>
    <row r="61" spans="2:12">
      <c r="B61" s="694"/>
      <c r="D61" s="81"/>
      <c r="E61" s="105"/>
      <c r="F61" s="101"/>
      <c r="K61" s="695"/>
    </row>
    <row r="62" spans="2:12">
      <c r="B62" s="685" t="s">
        <v>398</v>
      </c>
      <c r="C62" s="514"/>
      <c r="E62" s="105"/>
      <c r="F62" s="101"/>
      <c r="K62" s="695"/>
    </row>
    <row r="63" spans="2:12">
      <c r="B63" s="782" t="s">
        <v>885</v>
      </c>
      <c r="C63" s="192">
        <f>P!C101</f>
        <v>346441.53</v>
      </c>
      <c r="D63" s="192">
        <f>P!E101</f>
        <v>516445</v>
      </c>
      <c r="E63" s="545">
        <v>841755</v>
      </c>
      <c r="F63" s="607"/>
      <c r="G63" s="192"/>
      <c r="H63" s="192"/>
      <c r="I63" s="192"/>
      <c r="J63" s="192"/>
      <c r="K63" s="787">
        <f t="shared" ref="K63:K66" si="13">SUM(F63:J63)</f>
        <v>0</v>
      </c>
    </row>
    <row r="64" spans="2:12">
      <c r="B64" s="745" t="s">
        <v>836</v>
      </c>
      <c r="C64" s="87">
        <f>P!C100</f>
        <v>172669.96000000002</v>
      </c>
      <c r="D64" s="87">
        <f>P!E100</f>
        <v>561344.51</v>
      </c>
      <c r="E64" s="251">
        <v>836450.17</v>
      </c>
      <c r="F64" s="577"/>
      <c r="G64" s="87"/>
      <c r="H64" s="87"/>
      <c r="I64" s="87"/>
      <c r="J64" s="87"/>
      <c r="K64" s="746">
        <f t="shared" si="13"/>
        <v>0</v>
      </c>
    </row>
    <row r="65" spans="2:11">
      <c r="B65" s="735" t="s">
        <v>886</v>
      </c>
      <c r="C65" s="191">
        <f>P!C104</f>
        <v>0</v>
      </c>
      <c r="D65" s="191">
        <f>P!E104</f>
        <v>0</v>
      </c>
      <c r="E65" s="517">
        <v>20509.45</v>
      </c>
      <c r="F65" s="555"/>
      <c r="G65" s="191"/>
      <c r="H65" s="191"/>
      <c r="I65" s="191"/>
      <c r="J65" s="191"/>
      <c r="K65" s="736">
        <f t="shared" si="13"/>
        <v>0</v>
      </c>
    </row>
    <row r="66" spans="2:11">
      <c r="B66" s="750" t="s">
        <v>844</v>
      </c>
      <c r="C66" s="85">
        <f>P!C106</f>
        <v>689282.14</v>
      </c>
      <c r="D66" s="85">
        <f>P!E106</f>
        <v>162463.19</v>
      </c>
      <c r="E66" s="524">
        <v>502793.72</v>
      </c>
      <c r="F66" s="586"/>
      <c r="G66" s="85"/>
      <c r="H66" s="85"/>
      <c r="I66" s="85"/>
      <c r="J66" s="85"/>
      <c r="K66" s="751">
        <f t="shared" si="13"/>
        <v>0</v>
      </c>
    </row>
    <row r="67" spans="2:11">
      <c r="B67" s="752" t="s">
        <v>53</v>
      </c>
      <c r="C67" s="469">
        <f>SUM(C63:C66)</f>
        <v>1208393.6300000001</v>
      </c>
      <c r="D67" s="469">
        <f>SUM(D63:D66)</f>
        <v>1240252.7</v>
      </c>
      <c r="E67" s="528">
        <f>SUM(E63:E66)</f>
        <v>2201508.34</v>
      </c>
      <c r="F67" s="591">
        <f>SUM(F63:F66)</f>
        <v>0</v>
      </c>
      <c r="G67" s="469">
        <f t="shared" ref="G67" si="14">SUM(G63:G66)</f>
        <v>0</v>
      </c>
      <c r="H67" s="469">
        <f t="shared" ref="F67:K67" si="15">SUM(H63:H66)</f>
        <v>0</v>
      </c>
      <c r="I67" s="469">
        <f t="shared" si="15"/>
        <v>0</v>
      </c>
      <c r="J67" s="469">
        <f t="shared" si="15"/>
        <v>0</v>
      </c>
      <c r="K67" s="762">
        <f t="shared" si="15"/>
        <v>0</v>
      </c>
    </row>
    <row r="68" spans="2:11">
      <c r="B68" s="694"/>
      <c r="E68" s="105"/>
      <c r="F68" s="101"/>
      <c r="K68" s="695"/>
    </row>
    <row r="69" spans="2:11">
      <c r="B69" s="694"/>
      <c r="E69" s="105"/>
      <c r="F69" s="101"/>
      <c r="K69" s="695"/>
    </row>
    <row r="70" spans="2:11">
      <c r="B70" s="754" t="s">
        <v>510</v>
      </c>
      <c r="C70" s="88"/>
      <c r="E70" s="105"/>
      <c r="F70" s="608"/>
      <c r="G70" s="659"/>
      <c r="H70" s="659"/>
      <c r="I70" s="659"/>
      <c r="J70" s="659"/>
      <c r="K70" s="788"/>
    </row>
    <row r="71" spans="2:11">
      <c r="B71" s="754"/>
      <c r="C71" s="88"/>
      <c r="E71" s="105"/>
      <c r="F71" s="101"/>
      <c r="K71" s="695"/>
    </row>
    <row r="72" spans="2:11">
      <c r="B72" s="789" t="s">
        <v>420</v>
      </c>
      <c r="C72" s="660" t="s">
        <v>976</v>
      </c>
      <c r="D72" s="660" t="s">
        <v>421</v>
      </c>
      <c r="E72" s="546" t="s">
        <v>422</v>
      </c>
      <c r="F72" s="609"/>
      <c r="G72" s="660"/>
      <c r="H72" s="660"/>
      <c r="I72" s="660"/>
      <c r="J72" s="660"/>
      <c r="K72" s="790"/>
    </row>
    <row r="73" spans="2:11">
      <c r="B73" s="791" t="s">
        <v>424</v>
      </c>
      <c r="C73" s="80">
        <f>'R'!C13</f>
        <v>47421446.520000003</v>
      </c>
      <c r="D73" s="80">
        <f>'R'!E13</f>
        <v>71239969.190000013</v>
      </c>
      <c r="E73" s="547">
        <v>60486465.760000013</v>
      </c>
      <c r="F73" s="568"/>
      <c r="G73" s="80"/>
      <c r="H73" s="80"/>
      <c r="I73" s="80"/>
      <c r="J73" s="80"/>
      <c r="K73" s="792">
        <f t="shared" ref="K73:K77" si="16">SUM(F73:J73)</f>
        <v>0</v>
      </c>
    </row>
    <row r="74" spans="2:11">
      <c r="B74" s="780" t="s">
        <v>428</v>
      </c>
      <c r="C74" s="83">
        <f>'R'!C26</f>
        <v>7347134.1699999999</v>
      </c>
      <c r="D74" s="83">
        <f>'R'!E26</f>
        <v>8104423.9100000001</v>
      </c>
      <c r="E74" s="548">
        <v>7541327.7999999998</v>
      </c>
      <c r="F74" s="610"/>
      <c r="G74" s="83"/>
      <c r="H74" s="83"/>
      <c r="I74" s="83"/>
      <c r="J74" s="83"/>
      <c r="K74" s="793">
        <f t="shared" si="16"/>
        <v>0</v>
      </c>
    </row>
    <row r="75" spans="2:11">
      <c r="B75" s="750" t="s">
        <v>430</v>
      </c>
      <c r="C75" s="85">
        <f>'R'!C30</f>
        <v>5528580.4800000004</v>
      </c>
      <c r="D75" s="85">
        <f>'R'!E30</f>
        <v>5711902.0700000003</v>
      </c>
      <c r="E75" s="524">
        <v>5256867.59</v>
      </c>
      <c r="F75" s="586"/>
      <c r="G75" s="85"/>
      <c r="H75" s="85"/>
      <c r="I75" s="85"/>
      <c r="J75" s="85"/>
      <c r="K75" s="751">
        <f t="shared" si="16"/>
        <v>0</v>
      </c>
    </row>
    <row r="76" spans="2:11">
      <c r="B76" s="745" t="s">
        <v>432</v>
      </c>
      <c r="C76" s="87">
        <f>'R'!C23</f>
        <v>21549093.440000001</v>
      </c>
      <c r="D76" s="87">
        <f>'R'!E23</f>
        <v>7964386.4299999997</v>
      </c>
      <c r="E76" s="251">
        <v>7008039.2299999939</v>
      </c>
      <c r="F76" s="577"/>
      <c r="G76" s="87"/>
      <c r="H76" s="87"/>
      <c r="I76" s="87"/>
      <c r="J76" s="87"/>
      <c r="K76" s="746">
        <f t="shared" si="16"/>
        <v>0</v>
      </c>
    </row>
    <row r="77" spans="2:11">
      <c r="B77" s="745" t="s">
        <v>434</v>
      </c>
      <c r="C77" s="87">
        <f>'R'!C24</f>
        <v>20863820.02</v>
      </c>
      <c r="D77" s="87">
        <f>'R'!E24</f>
        <v>23575316.109999999</v>
      </c>
      <c r="E77" s="251">
        <v>22785599.870000001</v>
      </c>
      <c r="F77" s="577"/>
      <c r="G77" s="87"/>
      <c r="H77" s="87"/>
      <c r="I77" s="87"/>
      <c r="J77" s="87"/>
      <c r="K77" s="746">
        <f t="shared" si="16"/>
        <v>0</v>
      </c>
    </row>
    <row r="78" spans="2:11">
      <c r="B78" s="789" t="s">
        <v>53</v>
      </c>
      <c r="C78" s="661">
        <f t="shared" ref="C78:K78" si="17">SUM(C73:C77)</f>
        <v>102710074.63</v>
      </c>
      <c r="D78" s="661">
        <f t="shared" si="17"/>
        <v>116595997.71000002</v>
      </c>
      <c r="E78" s="549">
        <f t="shared" si="17"/>
        <v>103078300.25000001</v>
      </c>
      <c r="F78" s="611">
        <f>SUM(F73:F77)</f>
        <v>0</v>
      </c>
      <c r="G78" s="661">
        <f t="shared" ref="G78" si="18">SUM(G73:G77)</f>
        <v>0</v>
      </c>
      <c r="H78" s="661">
        <f t="shared" si="17"/>
        <v>0</v>
      </c>
      <c r="I78" s="661">
        <f t="shared" si="17"/>
        <v>0</v>
      </c>
      <c r="J78" s="661">
        <f t="shared" si="17"/>
        <v>0</v>
      </c>
      <c r="K78" s="794">
        <f t="shared" si="17"/>
        <v>0</v>
      </c>
    </row>
    <row r="79" spans="2:11">
      <c r="B79" s="789"/>
      <c r="C79" s="661"/>
      <c r="D79" s="661"/>
      <c r="E79" s="549"/>
      <c r="F79" s="611"/>
      <c r="G79" s="661"/>
      <c r="H79" s="661"/>
      <c r="I79" s="661"/>
      <c r="J79" s="661"/>
      <c r="K79" s="794"/>
    </row>
    <row r="80" spans="2:11">
      <c r="B80" s="795" t="s">
        <v>437</v>
      </c>
      <c r="C80" s="661">
        <f>'R'!C35</f>
        <v>6574039.8499999996</v>
      </c>
      <c r="D80" s="661">
        <f>'R'!E35</f>
        <v>10557871.02</v>
      </c>
      <c r="E80" s="549">
        <v>4753208.96</v>
      </c>
      <c r="F80" s="611"/>
      <c r="G80" s="661"/>
      <c r="H80" s="661"/>
      <c r="I80" s="661"/>
      <c r="J80" s="661"/>
      <c r="K80" s="794"/>
    </row>
    <row r="81" spans="2:11">
      <c r="B81" s="795"/>
      <c r="C81" s="677"/>
      <c r="D81" s="661"/>
      <c r="E81" s="549"/>
      <c r="F81" s="611"/>
      <c r="G81" s="661"/>
      <c r="H81" s="661"/>
      <c r="I81" s="661"/>
      <c r="J81" s="661"/>
      <c r="K81" s="794"/>
    </row>
    <row r="82" spans="2:11">
      <c r="B82" s="789" t="s">
        <v>373</v>
      </c>
      <c r="C82" s="660" t="s">
        <v>976</v>
      </c>
      <c r="D82" s="660" t="s">
        <v>421</v>
      </c>
      <c r="E82" s="546" t="s">
        <v>422</v>
      </c>
      <c r="F82" s="609"/>
      <c r="G82" s="660"/>
      <c r="H82" s="660"/>
      <c r="I82" s="660"/>
      <c r="J82" s="660"/>
      <c r="K82" s="790"/>
    </row>
    <row r="83" spans="2:11">
      <c r="B83" s="745" t="s">
        <v>441</v>
      </c>
      <c r="C83" s="87">
        <f>'R'!C42</f>
        <v>10267006.100000001</v>
      </c>
      <c r="D83" s="87">
        <f>'R'!E42</f>
        <v>12380541.279999999</v>
      </c>
      <c r="E83" s="251">
        <v>10847094.32</v>
      </c>
      <c r="F83" s="577"/>
      <c r="G83" s="87"/>
      <c r="H83" s="87"/>
      <c r="I83" s="87"/>
      <c r="J83" s="87"/>
      <c r="K83" s="746">
        <f t="shared" ref="K83:K93" si="19">SUM(F83:J83)</f>
        <v>0</v>
      </c>
    </row>
    <row r="84" spans="2:11">
      <c r="B84" s="745" t="s">
        <v>443</v>
      </c>
      <c r="C84" s="87">
        <f>'R'!C43</f>
        <v>1328076.4499999997</v>
      </c>
      <c r="D84" s="87">
        <f>'R'!E43</f>
        <v>2345119.7200000002</v>
      </c>
      <c r="E84" s="251">
        <v>3859387.0000000005</v>
      </c>
      <c r="F84" s="577"/>
      <c r="G84" s="87"/>
      <c r="H84" s="87"/>
      <c r="I84" s="87"/>
      <c r="J84" s="87"/>
      <c r="K84" s="746">
        <f t="shared" si="19"/>
        <v>0</v>
      </c>
    </row>
    <row r="85" spans="2:11">
      <c r="B85" s="758" t="s">
        <v>446</v>
      </c>
      <c r="C85" s="90">
        <f>'R'!C54</f>
        <v>55740623.459999993</v>
      </c>
      <c r="D85" s="90">
        <f>'R'!E54</f>
        <v>51937980.059999958</v>
      </c>
      <c r="E85" s="256">
        <v>49211832.889999986</v>
      </c>
      <c r="F85" s="590"/>
      <c r="G85" s="90"/>
      <c r="H85" s="90"/>
      <c r="I85" s="90"/>
      <c r="J85" s="90"/>
      <c r="K85" s="759">
        <f t="shared" si="19"/>
        <v>0</v>
      </c>
    </row>
    <row r="86" spans="2:11">
      <c r="B86" s="758" t="s">
        <v>448</v>
      </c>
      <c r="C86" s="90">
        <f>'R'!C55</f>
        <v>92034537.519999996</v>
      </c>
      <c r="D86" s="90">
        <f>'R'!E55</f>
        <v>129869102.72000001</v>
      </c>
      <c r="E86" s="256">
        <v>121648632.19</v>
      </c>
      <c r="F86" s="590"/>
      <c r="G86" s="90"/>
      <c r="H86" s="90"/>
      <c r="I86" s="90"/>
      <c r="J86" s="90"/>
      <c r="K86" s="759">
        <f t="shared" si="19"/>
        <v>0</v>
      </c>
    </row>
    <row r="87" spans="2:11">
      <c r="B87" s="774" t="s">
        <v>450</v>
      </c>
      <c r="C87" s="92">
        <f>'R'!C61</f>
        <v>1677485.8199999998</v>
      </c>
      <c r="D87" s="92">
        <f>'R'!E61</f>
        <v>1097566.99</v>
      </c>
      <c r="E87" s="412">
        <v>7110277.1399999997</v>
      </c>
      <c r="F87" s="612"/>
      <c r="G87" s="92"/>
      <c r="H87" s="92"/>
      <c r="I87" s="92"/>
      <c r="J87" s="92"/>
      <c r="K87" s="796">
        <f t="shared" si="19"/>
        <v>0</v>
      </c>
    </row>
    <row r="88" spans="2:11">
      <c r="B88" s="774" t="s">
        <v>452</v>
      </c>
      <c r="C88" s="92">
        <f>'R'!C62</f>
        <v>102684.70000000001</v>
      </c>
      <c r="D88" s="92">
        <f>'R'!E62</f>
        <v>3772.5</v>
      </c>
      <c r="E88" s="412">
        <v>4152.75</v>
      </c>
      <c r="F88" s="612"/>
      <c r="G88" s="92"/>
      <c r="H88" s="92"/>
      <c r="I88" s="92"/>
      <c r="J88" s="92"/>
      <c r="K88" s="796">
        <f t="shared" si="19"/>
        <v>0</v>
      </c>
    </row>
    <row r="89" spans="2:11">
      <c r="B89" s="797" t="s">
        <v>454</v>
      </c>
      <c r="C89" s="94">
        <f>'R'!C75</f>
        <v>14103462.49</v>
      </c>
      <c r="D89" s="94">
        <f>'R'!E75</f>
        <v>14294536.960000001</v>
      </c>
      <c r="E89" s="550">
        <v>14201533.1</v>
      </c>
      <c r="F89" s="613"/>
      <c r="G89" s="94"/>
      <c r="H89" s="94"/>
      <c r="I89" s="94"/>
      <c r="J89" s="94"/>
      <c r="K89" s="798">
        <f t="shared" si="19"/>
        <v>0</v>
      </c>
    </row>
    <row r="90" spans="2:11">
      <c r="B90" s="797" t="s">
        <v>456</v>
      </c>
      <c r="C90" s="94">
        <f>'R'!C74</f>
        <v>0</v>
      </c>
      <c r="D90" s="94">
        <f>'R'!E74</f>
        <v>0</v>
      </c>
      <c r="E90" s="550">
        <v>580</v>
      </c>
      <c r="F90" s="613"/>
      <c r="G90" s="94"/>
      <c r="H90" s="94"/>
      <c r="I90" s="94"/>
      <c r="J90" s="94"/>
      <c r="K90" s="798">
        <f t="shared" si="19"/>
        <v>0</v>
      </c>
    </row>
    <row r="91" spans="2:11">
      <c r="B91" s="799" t="s">
        <v>458</v>
      </c>
      <c r="C91" s="96">
        <f>'R'!C69</f>
        <v>3778064.69</v>
      </c>
      <c r="D91" s="96">
        <f>+'R'!E69</f>
        <v>4731840.3100000005</v>
      </c>
      <c r="E91" s="551">
        <v>4367271.93</v>
      </c>
      <c r="F91" s="614"/>
      <c r="G91" s="96"/>
      <c r="H91" s="96"/>
      <c r="I91" s="96"/>
      <c r="J91" s="96"/>
      <c r="K91" s="800">
        <f t="shared" si="19"/>
        <v>0</v>
      </c>
    </row>
    <row r="92" spans="2:11">
      <c r="B92" s="801" t="s">
        <v>460</v>
      </c>
      <c r="C92" s="98">
        <f>'R'!C73</f>
        <v>4961851.0999999996</v>
      </c>
      <c r="D92" s="98">
        <f>+'R'!E73</f>
        <v>4327572.8899999997</v>
      </c>
      <c r="E92" s="552">
        <v>3292293.19</v>
      </c>
      <c r="F92" s="615"/>
      <c r="G92" s="98"/>
      <c r="H92" s="98"/>
      <c r="I92" s="98"/>
      <c r="J92" s="98"/>
      <c r="K92" s="802">
        <f t="shared" si="19"/>
        <v>0</v>
      </c>
    </row>
    <row r="93" spans="2:11">
      <c r="B93" s="750" t="s">
        <v>373</v>
      </c>
      <c r="C93" s="85">
        <f>'R'!C76</f>
        <v>619032.29</v>
      </c>
      <c r="D93" s="85">
        <f>+'R'!E76</f>
        <v>424383.39</v>
      </c>
      <c r="E93" s="524">
        <v>248077.95</v>
      </c>
      <c r="F93" s="586"/>
      <c r="G93" s="85"/>
      <c r="H93" s="85"/>
      <c r="I93" s="85"/>
      <c r="J93" s="85"/>
      <c r="K93" s="751">
        <f t="shared" si="19"/>
        <v>0</v>
      </c>
    </row>
    <row r="94" spans="2:11">
      <c r="B94" s="754" t="s">
        <v>53</v>
      </c>
      <c r="C94" s="88">
        <f>SUM(C83:C93)</f>
        <v>184612824.61999995</v>
      </c>
      <c r="D94" s="88">
        <f t="shared" ref="D94:K94" si="20">SUM(D83:D93)</f>
        <v>221412416.81999996</v>
      </c>
      <c r="E94" s="553">
        <f t="shared" si="20"/>
        <v>214791132.45999995</v>
      </c>
      <c r="F94" s="616">
        <f>SUM(F83:F93)</f>
        <v>0</v>
      </c>
      <c r="G94" s="88">
        <f t="shared" ref="G94" si="21">SUM(G83:G93)</f>
        <v>0</v>
      </c>
      <c r="H94" s="88">
        <f t="shared" si="20"/>
        <v>0</v>
      </c>
      <c r="I94" s="88">
        <f t="shared" si="20"/>
        <v>0</v>
      </c>
      <c r="J94" s="88">
        <f t="shared" si="20"/>
        <v>0</v>
      </c>
      <c r="K94" s="803">
        <f t="shared" si="20"/>
        <v>0</v>
      </c>
    </row>
    <row r="95" spans="2:11">
      <c r="B95" s="754"/>
      <c r="C95" s="88"/>
      <c r="D95" s="88"/>
      <c r="E95" s="553"/>
      <c r="F95" s="616"/>
      <c r="G95" s="88"/>
      <c r="H95" s="88"/>
      <c r="I95" s="88"/>
      <c r="J95" s="88"/>
      <c r="K95" s="803"/>
    </row>
    <row r="96" spans="2:11">
      <c r="B96" s="754" t="s">
        <v>53</v>
      </c>
      <c r="C96" s="88">
        <f t="shared" ref="C96:K96" si="22">C78+C80+C94</f>
        <v>293896939.0999999</v>
      </c>
      <c r="D96" s="88">
        <f t="shared" si="22"/>
        <v>348566285.54999995</v>
      </c>
      <c r="E96" s="553">
        <f t="shared" si="22"/>
        <v>322622641.66999996</v>
      </c>
      <c r="F96" s="616">
        <f>F78+F80+F94</f>
        <v>0</v>
      </c>
      <c r="G96" s="88">
        <f t="shared" ref="G96" si="23">G78+G80+G94</f>
        <v>0</v>
      </c>
      <c r="H96" s="88">
        <f t="shared" si="22"/>
        <v>0</v>
      </c>
      <c r="I96" s="88">
        <f t="shared" si="22"/>
        <v>0</v>
      </c>
      <c r="J96" s="88">
        <f t="shared" si="22"/>
        <v>0</v>
      </c>
      <c r="K96" s="803">
        <f t="shared" si="22"/>
        <v>0</v>
      </c>
    </row>
    <row r="97" spans="2:11">
      <c r="B97" s="694"/>
      <c r="D97" s="662"/>
      <c r="E97" s="105"/>
      <c r="F97" s="617"/>
      <c r="G97" s="662"/>
      <c r="H97" s="662"/>
      <c r="I97" s="662"/>
      <c r="J97" s="662"/>
      <c r="K97" s="804"/>
    </row>
    <row r="98" spans="2:11">
      <c r="B98" s="754" t="s">
        <v>511</v>
      </c>
      <c r="C98" s="88"/>
      <c r="D98" s="81"/>
      <c r="E98" s="105"/>
      <c r="F98" s="618"/>
      <c r="G98" s="81"/>
      <c r="H98" s="81"/>
      <c r="I98" s="81"/>
      <c r="J98" s="81"/>
      <c r="K98" s="696"/>
    </row>
    <row r="99" spans="2:11">
      <c r="B99" s="805"/>
      <c r="D99" s="663" t="s">
        <v>421</v>
      </c>
      <c r="E99" s="554" t="s">
        <v>422</v>
      </c>
      <c r="F99" s="619"/>
      <c r="G99" s="663"/>
      <c r="H99" s="663"/>
      <c r="I99" s="663"/>
      <c r="J99" s="663"/>
      <c r="K99" s="806"/>
    </row>
    <row r="100" spans="2:11">
      <c r="B100" s="807" t="s">
        <v>513</v>
      </c>
      <c r="C100" s="191">
        <f>'R'!C128</f>
        <v>3505151.72</v>
      </c>
      <c r="D100" s="644">
        <f>'R'!E250</f>
        <v>2118750.6700000004</v>
      </c>
      <c r="E100" s="517">
        <v>2036440</v>
      </c>
      <c r="F100" s="593"/>
      <c r="G100" s="644"/>
      <c r="H100" s="644"/>
      <c r="I100" s="644"/>
      <c r="J100" s="644"/>
      <c r="K100" s="764">
        <f t="shared" ref="K100:K118" si="24">SUM(F100:J100)</f>
        <v>0</v>
      </c>
    </row>
    <row r="101" spans="2:11">
      <c r="B101" s="807" t="s">
        <v>515</v>
      </c>
      <c r="C101" s="191">
        <f>'R'!C129</f>
        <v>335637.99000000005</v>
      </c>
      <c r="D101" s="643">
        <f>'R'!E251</f>
        <v>250004.8</v>
      </c>
      <c r="E101" s="251">
        <v>279502.88</v>
      </c>
      <c r="F101" s="593"/>
      <c r="G101" s="644"/>
      <c r="H101" s="644"/>
      <c r="I101" s="644"/>
      <c r="J101" s="644"/>
      <c r="K101" s="764">
        <f t="shared" si="24"/>
        <v>0</v>
      </c>
    </row>
    <row r="102" spans="2:11">
      <c r="B102" s="808" t="s">
        <v>517</v>
      </c>
      <c r="C102" s="655">
        <f>'R'!C150</f>
        <v>97484177.450000003</v>
      </c>
      <c r="D102" s="655">
        <f>'R'!E268</f>
        <v>76961248.189999998</v>
      </c>
      <c r="E102" s="545">
        <v>47253588.759999998</v>
      </c>
      <c r="F102" s="556"/>
      <c r="G102" s="655"/>
      <c r="H102" s="655"/>
      <c r="I102" s="655"/>
      <c r="J102" s="655"/>
      <c r="K102" s="783">
        <f t="shared" si="24"/>
        <v>0</v>
      </c>
    </row>
    <row r="103" spans="2:11">
      <c r="B103" s="808" t="s">
        <v>519</v>
      </c>
      <c r="C103" s="643">
        <f>'R'!C132</f>
        <v>1975293.43</v>
      </c>
      <c r="D103" s="643">
        <f>'R'!E269</f>
        <v>2422799.7599999998</v>
      </c>
      <c r="E103" s="251">
        <v>1364930.46</v>
      </c>
      <c r="F103" s="592"/>
      <c r="G103" s="643"/>
      <c r="H103" s="643"/>
      <c r="I103" s="643"/>
      <c r="J103" s="643"/>
      <c r="K103" s="763">
        <f t="shared" si="24"/>
        <v>0</v>
      </c>
    </row>
    <row r="104" spans="2:11">
      <c r="B104" s="809" t="s">
        <v>521</v>
      </c>
      <c r="C104" s="193">
        <f>'R'!C135</f>
        <v>146735</v>
      </c>
      <c r="D104" s="664">
        <f>'R'!E256</f>
        <v>63925.65</v>
      </c>
      <c r="E104" s="525">
        <v>100985.34000000001</v>
      </c>
      <c r="F104" s="620"/>
      <c r="G104" s="664"/>
      <c r="H104" s="664"/>
      <c r="I104" s="664"/>
      <c r="J104" s="664"/>
      <c r="K104" s="810">
        <f t="shared" si="24"/>
        <v>0</v>
      </c>
    </row>
    <row r="105" spans="2:11">
      <c r="B105" s="811" t="s">
        <v>523</v>
      </c>
      <c r="C105" s="194">
        <f>'R'!C151</f>
        <v>94779.98</v>
      </c>
      <c r="D105" s="665">
        <f>'R'!E271</f>
        <v>69547.03</v>
      </c>
      <c r="E105" s="558">
        <v>115592.97</v>
      </c>
      <c r="F105" s="621"/>
      <c r="G105" s="665"/>
      <c r="H105" s="665"/>
      <c r="I105" s="665"/>
      <c r="J105" s="665"/>
      <c r="K105" s="812">
        <f t="shared" si="24"/>
        <v>0</v>
      </c>
    </row>
    <row r="106" spans="2:11">
      <c r="B106" s="813" t="s">
        <v>525</v>
      </c>
      <c r="C106" s="195">
        <f>'R'!C152</f>
        <v>0</v>
      </c>
      <c r="D106" s="666">
        <f>'R'!E272</f>
        <v>34131.949999999997</v>
      </c>
      <c r="E106" s="559">
        <v>59988.959999999999</v>
      </c>
      <c r="F106" s="622"/>
      <c r="G106" s="666"/>
      <c r="H106" s="666"/>
      <c r="I106" s="666"/>
      <c r="J106" s="666"/>
      <c r="K106" s="814">
        <f t="shared" si="24"/>
        <v>0</v>
      </c>
    </row>
    <row r="107" spans="2:11">
      <c r="B107" s="815" t="s">
        <v>527</v>
      </c>
      <c r="C107" s="196">
        <f>'R'!C153</f>
        <v>674691.69</v>
      </c>
      <c r="D107" s="667">
        <f>'R'!E273</f>
        <v>760389.7</v>
      </c>
      <c r="E107" s="560">
        <v>866565.19</v>
      </c>
      <c r="F107" s="623"/>
      <c r="G107" s="667"/>
      <c r="H107" s="667"/>
      <c r="I107" s="667"/>
      <c r="J107" s="667"/>
      <c r="K107" s="816">
        <f t="shared" si="24"/>
        <v>0</v>
      </c>
    </row>
    <row r="108" spans="2:11">
      <c r="B108" s="817" t="s">
        <v>529</v>
      </c>
      <c r="C108" s="197">
        <f>'R'!C154</f>
        <v>236074.29</v>
      </c>
      <c r="D108" s="668">
        <f>'R'!E274</f>
        <v>267354.84000000003</v>
      </c>
      <c r="E108" s="561">
        <v>175833.33</v>
      </c>
      <c r="F108" s="624"/>
      <c r="G108" s="668"/>
      <c r="H108" s="668"/>
      <c r="I108" s="668"/>
      <c r="J108" s="668"/>
      <c r="K108" s="818">
        <f t="shared" si="24"/>
        <v>0</v>
      </c>
    </row>
    <row r="109" spans="2:11">
      <c r="B109" s="819" t="s">
        <v>531</v>
      </c>
      <c r="C109" s="198">
        <f>'R'!C155</f>
        <v>617070</v>
      </c>
      <c r="D109" s="669">
        <f>'R'!E275</f>
        <v>522850</v>
      </c>
      <c r="E109" s="562">
        <v>506997.49</v>
      </c>
      <c r="F109" s="625"/>
      <c r="G109" s="669"/>
      <c r="H109" s="669"/>
      <c r="I109" s="669"/>
      <c r="J109" s="669"/>
      <c r="K109" s="820">
        <f t="shared" si="24"/>
        <v>0</v>
      </c>
    </row>
    <row r="110" spans="2:11">
      <c r="B110" s="821" t="s">
        <v>533</v>
      </c>
      <c r="C110" s="199">
        <f>'R'!C158</f>
        <v>1455689.54</v>
      </c>
      <c r="D110" s="653">
        <f>'R'!E278</f>
        <v>1642153.29</v>
      </c>
      <c r="E110" s="563">
        <v>1101899.79</v>
      </c>
      <c r="F110" s="601"/>
      <c r="G110" s="653"/>
      <c r="H110" s="653"/>
      <c r="I110" s="653"/>
      <c r="J110" s="653"/>
      <c r="K110" s="777">
        <f t="shared" si="24"/>
        <v>0</v>
      </c>
    </row>
    <row r="111" spans="2:11">
      <c r="B111" s="822" t="s">
        <v>535</v>
      </c>
      <c r="C111" s="200">
        <f>'R'!C162</f>
        <v>495467</v>
      </c>
      <c r="D111" s="648">
        <f>'R'!E282</f>
        <v>770156.37999999989</v>
      </c>
      <c r="E111" s="564">
        <v>82877.51999999999</v>
      </c>
      <c r="F111" s="597"/>
      <c r="G111" s="648"/>
      <c r="H111" s="648"/>
      <c r="I111" s="648"/>
      <c r="J111" s="648"/>
      <c r="K111" s="770">
        <f t="shared" si="24"/>
        <v>0</v>
      </c>
    </row>
    <row r="112" spans="2:11">
      <c r="B112" s="823" t="s">
        <v>537</v>
      </c>
      <c r="C112" s="201">
        <f>'R'!C165</f>
        <v>95211.62000000001</v>
      </c>
      <c r="D112" s="646">
        <f>'R'!E285</f>
        <v>130074.01</v>
      </c>
      <c r="E112" s="565">
        <v>191875.21999999997</v>
      </c>
      <c r="F112" s="595"/>
      <c r="G112" s="646"/>
      <c r="H112" s="646"/>
      <c r="I112" s="646"/>
      <c r="J112" s="646"/>
      <c r="K112" s="767">
        <f t="shared" si="24"/>
        <v>0</v>
      </c>
    </row>
    <row r="113" spans="2:11">
      <c r="B113" s="824" t="s">
        <v>539</v>
      </c>
      <c r="C113" s="202">
        <f>'R'!C166</f>
        <v>4231978.09</v>
      </c>
      <c r="D113" s="658">
        <f>'R'!E286</f>
        <v>4950991.12</v>
      </c>
      <c r="E113" s="527">
        <v>3224089.03</v>
      </c>
      <c r="F113" s="606"/>
      <c r="G113" s="658"/>
      <c r="H113" s="658"/>
      <c r="I113" s="658"/>
      <c r="J113" s="658"/>
      <c r="K113" s="786">
        <f t="shared" si="24"/>
        <v>0</v>
      </c>
    </row>
    <row r="114" spans="2:11">
      <c r="B114" s="825" t="s">
        <v>541</v>
      </c>
      <c r="C114" s="203">
        <f>'R'!C170</f>
        <v>362865.83</v>
      </c>
      <c r="D114" s="670">
        <f>'R'!E290</f>
        <v>268096.74</v>
      </c>
      <c r="E114" s="519">
        <v>315386.28999999998</v>
      </c>
      <c r="F114" s="626"/>
      <c r="G114" s="670"/>
      <c r="H114" s="670"/>
      <c r="I114" s="670"/>
      <c r="J114" s="670"/>
      <c r="K114" s="826">
        <f t="shared" si="24"/>
        <v>0</v>
      </c>
    </row>
    <row r="115" spans="2:11">
      <c r="B115" s="827" t="s">
        <v>543</v>
      </c>
      <c r="C115" s="204">
        <f>'R'!C186</f>
        <v>41477357.820000008</v>
      </c>
      <c r="D115" s="656">
        <f>'R'!E305</f>
        <v>40493339.699999988</v>
      </c>
      <c r="E115" s="278">
        <v>40464208.88000001</v>
      </c>
      <c r="F115" s="604"/>
      <c r="G115" s="656"/>
      <c r="H115" s="656"/>
      <c r="I115" s="656"/>
      <c r="J115" s="656"/>
      <c r="K115" s="784">
        <f t="shared" si="24"/>
        <v>0</v>
      </c>
    </row>
    <row r="116" spans="2:11">
      <c r="B116" s="827" t="s">
        <v>545</v>
      </c>
      <c r="C116" s="204">
        <f>'R'!C187</f>
        <v>4625616.25</v>
      </c>
      <c r="D116" s="643">
        <f>'R'!E306</f>
        <v>4620849.9800000004</v>
      </c>
      <c r="E116" s="251">
        <v>4450642.83</v>
      </c>
      <c r="F116" s="604"/>
      <c r="G116" s="656"/>
      <c r="H116" s="656"/>
      <c r="I116" s="656"/>
      <c r="J116" s="656"/>
      <c r="K116" s="784">
        <f t="shared" si="24"/>
        <v>0</v>
      </c>
    </row>
    <row r="117" spans="2:11">
      <c r="B117" s="828" t="s">
        <v>380</v>
      </c>
      <c r="C117" s="80">
        <f>'R'!C197</f>
        <v>2415525.7799999998</v>
      </c>
      <c r="D117" s="80">
        <f>'R'!E315</f>
        <v>6447488.6799999997</v>
      </c>
      <c r="E117" s="547">
        <v>7072146.6799999997</v>
      </c>
      <c r="F117" s="568"/>
      <c r="G117" s="80"/>
      <c r="H117" s="80"/>
      <c r="I117" s="80"/>
      <c r="J117" s="80"/>
      <c r="K117" s="792">
        <f t="shared" si="24"/>
        <v>0</v>
      </c>
    </row>
    <row r="118" spans="2:11">
      <c r="B118" s="828" t="s">
        <v>549</v>
      </c>
      <c r="C118" s="80">
        <f>'R'!C198</f>
        <v>363073.37</v>
      </c>
      <c r="D118" s="80">
        <f>'R'!E316</f>
        <v>174468.37</v>
      </c>
      <c r="E118" s="547">
        <v>371984.75</v>
      </c>
      <c r="F118" s="568"/>
      <c r="G118" s="80"/>
      <c r="H118" s="80"/>
      <c r="I118" s="80"/>
      <c r="J118" s="80"/>
      <c r="K118" s="792">
        <f t="shared" si="24"/>
        <v>0</v>
      </c>
    </row>
    <row r="119" spans="2:11">
      <c r="B119" s="829" t="s">
        <v>53</v>
      </c>
      <c r="C119" s="661">
        <f>SUM(C100:C118)</f>
        <v>160592396.85000005</v>
      </c>
      <c r="D119" s="661">
        <f>SUM(D100:D118)</f>
        <v>142968620.86000001</v>
      </c>
      <c r="E119" s="549">
        <f>SUM(E100:E118)</f>
        <v>110035536.37</v>
      </c>
      <c r="F119" s="611">
        <f>SUM(F100:F118)</f>
        <v>0</v>
      </c>
      <c r="G119" s="661">
        <f t="shared" ref="G119" si="25">SUM(G100:G118)</f>
        <v>0</v>
      </c>
      <c r="H119" s="661">
        <f t="shared" ref="F119:K119" si="26">SUM(H100:H118)</f>
        <v>0</v>
      </c>
      <c r="I119" s="661">
        <f t="shared" si="26"/>
        <v>0</v>
      </c>
      <c r="J119" s="661">
        <f t="shared" si="26"/>
        <v>0</v>
      </c>
      <c r="K119" s="794">
        <f t="shared" si="26"/>
        <v>0</v>
      </c>
    </row>
    <row r="120" spans="2:11">
      <c r="B120" s="694"/>
      <c r="E120" s="294"/>
      <c r="F120" s="101"/>
      <c r="K120" s="695"/>
    </row>
    <row r="121" spans="2:11">
      <c r="B121" s="754" t="s">
        <v>613</v>
      </c>
      <c r="C121" s="88"/>
      <c r="E121" s="105"/>
      <c r="F121" s="101"/>
      <c r="K121" s="695"/>
    </row>
    <row r="122" spans="2:11">
      <c r="B122" s="694"/>
      <c r="C122" s="663" t="s">
        <v>976</v>
      </c>
      <c r="D122" s="663" t="s">
        <v>421</v>
      </c>
      <c r="E122" s="554" t="s">
        <v>422</v>
      </c>
      <c r="F122" s="619"/>
      <c r="G122" s="663"/>
      <c r="H122" s="663"/>
      <c r="I122" s="663"/>
      <c r="J122" s="663"/>
      <c r="K122" s="806"/>
    </row>
    <row r="123" spans="2:11">
      <c r="B123" s="694" t="s">
        <v>608</v>
      </c>
      <c r="C123" s="81">
        <v>435052837.56</v>
      </c>
      <c r="D123" s="830">
        <v>406247238.69</v>
      </c>
      <c r="E123" s="569">
        <v>413998259.58999997</v>
      </c>
      <c r="F123" s="627"/>
      <c r="G123" s="671"/>
      <c r="H123" s="671"/>
      <c r="I123" s="671"/>
      <c r="J123" s="671"/>
      <c r="K123" s="831">
        <f t="shared" ref="K123:K125" si="27">SUM(F123:J123)</f>
        <v>0</v>
      </c>
    </row>
    <row r="124" spans="2:11">
      <c r="B124" s="694" t="s">
        <v>609</v>
      </c>
      <c r="C124" s="81">
        <v>157913036.31999999</v>
      </c>
      <c r="D124" s="830">
        <v>142122915.25999999</v>
      </c>
      <c r="E124" s="569">
        <v>151884006.93000001</v>
      </c>
      <c r="F124" s="627"/>
      <c r="G124" s="671"/>
      <c r="H124" s="671"/>
      <c r="I124" s="671"/>
      <c r="J124" s="671"/>
      <c r="K124" s="831">
        <f t="shared" si="27"/>
        <v>0</v>
      </c>
    </row>
    <row r="125" spans="2:11">
      <c r="B125" s="694" t="s">
        <v>377</v>
      </c>
      <c r="C125" s="81">
        <v>98201215.140000001</v>
      </c>
      <c r="D125" s="830">
        <v>91362319.870000005</v>
      </c>
      <c r="E125" s="569">
        <v>95084307.280000001</v>
      </c>
      <c r="F125" s="627"/>
      <c r="G125" s="671"/>
      <c r="H125" s="671"/>
      <c r="I125" s="671"/>
      <c r="J125" s="671"/>
      <c r="K125" s="831">
        <f t="shared" si="27"/>
        <v>0</v>
      </c>
    </row>
    <row r="126" spans="2:11">
      <c r="B126" s="754" t="s">
        <v>53</v>
      </c>
      <c r="C126" s="672">
        <f t="shared" ref="C126:K126" si="28">SUM(C123:C125)</f>
        <v>691167089.01999998</v>
      </c>
      <c r="D126" s="672">
        <f t="shared" si="28"/>
        <v>639732473.82000005</v>
      </c>
      <c r="E126" s="570">
        <f t="shared" si="28"/>
        <v>660966573.79999995</v>
      </c>
      <c r="F126" s="628">
        <f>SUM(F123:F125)</f>
        <v>0</v>
      </c>
      <c r="G126" s="672">
        <f t="shared" ref="G126" si="29">SUM(G123:G125)</f>
        <v>0</v>
      </c>
      <c r="H126" s="672">
        <f t="shared" si="28"/>
        <v>0</v>
      </c>
      <c r="I126" s="672">
        <f t="shared" si="28"/>
        <v>0</v>
      </c>
      <c r="J126" s="672">
        <f t="shared" si="28"/>
        <v>0</v>
      </c>
      <c r="K126" s="832">
        <f t="shared" si="28"/>
        <v>0</v>
      </c>
    </row>
    <row r="127" spans="2:11">
      <c r="B127" s="694"/>
      <c r="E127" s="105"/>
      <c r="F127" s="101"/>
      <c r="K127" s="695"/>
    </row>
    <row r="128" spans="2:11">
      <c r="B128" s="754" t="s">
        <v>701</v>
      </c>
      <c r="C128" s="88"/>
      <c r="E128" s="105"/>
      <c r="F128" s="101"/>
      <c r="K128" s="695"/>
    </row>
    <row r="129" spans="2:15">
      <c r="B129" s="833"/>
      <c r="C129" s="673" t="s">
        <v>976</v>
      </c>
      <c r="D129" s="673" t="s">
        <v>421</v>
      </c>
      <c r="E129" s="571" t="s">
        <v>422</v>
      </c>
      <c r="F129" s="629"/>
      <c r="G129" s="673"/>
      <c r="H129" s="673"/>
      <c r="I129" s="673"/>
      <c r="J129" s="673"/>
      <c r="K129" s="834"/>
    </row>
    <row r="130" spans="2:15">
      <c r="B130" s="835" t="s">
        <v>610</v>
      </c>
      <c r="C130" s="675">
        <v>55298617.850000001</v>
      </c>
      <c r="D130" s="836">
        <f>11175538.54-D131</f>
        <v>3754479.38</v>
      </c>
      <c r="E130" s="572">
        <v>1812403.9200000018</v>
      </c>
      <c r="F130" s="630"/>
      <c r="G130" s="674"/>
      <c r="H130" s="674"/>
      <c r="I130" s="674"/>
      <c r="J130" s="674"/>
      <c r="K130" s="837">
        <f t="shared" ref="K130:K132" si="30">SUM(F130:J130)</f>
        <v>0</v>
      </c>
      <c r="M130" t="s">
        <v>610</v>
      </c>
      <c r="N130">
        <v>55298617.850000001</v>
      </c>
      <c r="O130">
        <v>3754479.38</v>
      </c>
    </row>
    <row r="131" spans="2:15">
      <c r="B131" s="835" t="s">
        <v>611</v>
      </c>
      <c r="C131" s="675">
        <v>8219092.6500000004</v>
      </c>
      <c r="D131" s="674">
        <f>'R'!E206</f>
        <v>7421059.1599999992</v>
      </c>
      <c r="E131" s="572">
        <v>59336741.009999998</v>
      </c>
      <c r="F131" s="630"/>
      <c r="G131" s="674"/>
      <c r="H131" s="674"/>
      <c r="I131" s="674"/>
      <c r="J131" s="674"/>
      <c r="K131" s="837">
        <f t="shared" si="30"/>
        <v>0</v>
      </c>
      <c r="M131" t="s">
        <v>611</v>
      </c>
      <c r="N131">
        <v>8219092.6500000004</v>
      </c>
      <c r="O131">
        <v>7421059.1599999992</v>
      </c>
    </row>
    <row r="132" spans="2:15">
      <c r="B132" s="838" t="s">
        <v>612</v>
      </c>
      <c r="C132" s="931">
        <v>25504.45</v>
      </c>
      <c r="D132" s="674">
        <f>'R'!E228</f>
        <v>7135750.0600000024</v>
      </c>
      <c r="E132" s="572">
        <v>125932.94</v>
      </c>
      <c r="F132" s="630"/>
      <c r="G132" s="674"/>
      <c r="H132" s="674"/>
      <c r="I132" s="674"/>
      <c r="J132" s="674"/>
      <c r="K132" s="837">
        <f t="shared" si="30"/>
        <v>0</v>
      </c>
      <c r="M132" t="s">
        <v>990</v>
      </c>
      <c r="N132">
        <v>25504.45</v>
      </c>
      <c r="O132">
        <v>7135750.0599999996</v>
      </c>
    </row>
    <row r="133" spans="2:15">
      <c r="B133" s="838" t="s">
        <v>991</v>
      </c>
      <c r="C133" s="931">
        <v>23303481.120000001</v>
      </c>
      <c r="D133" s="674"/>
      <c r="E133" s="572"/>
      <c r="F133" s="630"/>
      <c r="G133" s="674"/>
      <c r="H133" s="674"/>
      <c r="I133" s="674"/>
      <c r="J133" s="674"/>
      <c r="K133" s="837"/>
    </row>
    <row r="134" spans="2:15" ht="18">
      <c r="B134" s="1045" t="s">
        <v>53</v>
      </c>
      <c r="C134" s="1047">
        <f>SUM(C130:C133)</f>
        <v>86846696.070000008</v>
      </c>
      <c r="D134" s="661">
        <f t="shared" ref="D134:K134" si="31">SUM(D130:D132)</f>
        <v>18311288.600000001</v>
      </c>
      <c r="E134" s="549">
        <f t="shared" si="31"/>
        <v>61275077.869999997</v>
      </c>
      <c r="F134" s="611">
        <f>SUM(F130:F132)</f>
        <v>0</v>
      </c>
      <c r="G134" s="661">
        <f t="shared" ref="G134" si="32">SUM(G130:G132)</f>
        <v>0</v>
      </c>
      <c r="H134" s="661">
        <f t="shared" si="31"/>
        <v>0</v>
      </c>
      <c r="I134" s="661">
        <f t="shared" si="31"/>
        <v>0</v>
      </c>
      <c r="J134" s="661">
        <f t="shared" si="31"/>
        <v>0</v>
      </c>
      <c r="K134" s="794">
        <f t="shared" si="31"/>
        <v>0</v>
      </c>
      <c r="M134" t="s">
        <v>991</v>
      </c>
      <c r="N134">
        <v>23303481.120000001</v>
      </c>
      <c r="O134">
        <v>0</v>
      </c>
    </row>
    <row r="135" spans="2:15">
      <c r="B135" s="694"/>
      <c r="D135" s="81"/>
      <c r="E135" s="105"/>
      <c r="F135" s="101"/>
      <c r="K135" s="695"/>
      <c r="N135">
        <f>SUM(N130:N134)</f>
        <v>86846696.070000008</v>
      </c>
    </row>
    <row r="136" spans="2:15">
      <c r="B136" s="754" t="s">
        <v>47</v>
      </c>
      <c r="C136" s="88"/>
      <c r="E136" s="105"/>
      <c r="F136" s="101"/>
      <c r="K136" s="695"/>
    </row>
    <row r="137" spans="2:15">
      <c r="B137" s="835"/>
      <c r="C137" s="673" t="s">
        <v>976</v>
      </c>
      <c r="D137" s="673" t="s">
        <v>421</v>
      </c>
      <c r="E137" s="571" t="s">
        <v>422</v>
      </c>
      <c r="F137" s="629"/>
      <c r="G137" s="673"/>
      <c r="H137" s="673"/>
      <c r="I137" s="673"/>
      <c r="J137" s="673"/>
      <c r="K137" s="834"/>
    </row>
    <row r="138" spans="2:15">
      <c r="B138" s="835" t="s">
        <v>640</v>
      </c>
      <c r="C138" s="675">
        <f>'R'!C212</f>
        <v>0</v>
      </c>
      <c r="D138" s="675">
        <f>'R'!E212</f>
        <v>558041.25</v>
      </c>
      <c r="E138" s="573">
        <v>0</v>
      </c>
      <c r="F138" s="631"/>
      <c r="G138" s="675"/>
      <c r="H138" s="675"/>
      <c r="I138" s="675"/>
      <c r="J138" s="675"/>
      <c r="K138" s="837">
        <f t="shared" ref="K138:K143" si="33">SUM(F138:J138)</f>
        <v>0</v>
      </c>
    </row>
    <row r="139" spans="2:15">
      <c r="B139" s="835" t="s">
        <v>642</v>
      </c>
      <c r="C139" s="675">
        <f>'R'!C218</f>
        <v>39581035.859999999</v>
      </c>
      <c r="D139" s="675">
        <f>'R'!E218</f>
        <v>5143195.04</v>
      </c>
      <c r="E139" s="573">
        <v>11228649.07</v>
      </c>
      <c r="F139" s="631"/>
      <c r="G139" s="675"/>
      <c r="H139" s="675"/>
      <c r="I139" s="675"/>
      <c r="J139" s="675"/>
      <c r="K139" s="837">
        <f t="shared" si="33"/>
        <v>0</v>
      </c>
    </row>
    <row r="140" spans="2:15">
      <c r="B140" s="835" t="s">
        <v>644</v>
      </c>
      <c r="C140" s="675">
        <f>'R'!C215</f>
        <v>0</v>
      </c>
      <c r="D140" s="675">
        <f>'R'!E215</f>
        <v>412359.77</v>
      </c>
      <c r="E140" s="573">
        <v>922980.61</v>
      </c>
      <c r="F140" s="631"/>
      <c r="G140" s="675"/>
      <c r="H140" s="675"/>
      <c r="I140" s="675"/>
      <c r="J140" s="675"/>
      <c r="K140" s="837">
        <f t="shared" si="33"/>
        <v>0</v>
      </c>
    </row>
    <row r="141" spans="2:15">
      <c r="B141" s="835" t="s">
        <v>645</v>
      </c>
      <c r="C141" s="675">
        <f>'R'!C220</f>
        <v>0</v>
      </c>
      <c r="D141" s="675">
        <f>+'R'!D219</f>
        <v>0</v>
      </c>
      <c r="E141" s="573">
        <v>1052829</v>
      </c>
      <c r="F141" s="631"/>
      <c r="G141" s="675"/>
      <c r="H141" s="675"/>
      <c r="I141" s="675"/>
      <c r="J141" s="675"/>
      <c r="K141" s="837">
        <f t="shared" si="33"/>
        <v>0</v>
      </c>
    </row>
    <row r="142" spans="2:15">
      <c r="B142" s="835" t="s">
        <v>647</v>
      </c>
      <c r="C142" s="675">
        <f>'R'!C221</f>
        <v>32749413.940000001</v>
      </c>
      <c r="D142" s="675">
        <f>'R'!E221</f>
        <v>24821713.600000001</v>
      </c>
      <c r="E142" s="573">
        <v>17026353.5</v>
      </c>
      <c r="F142" s="631"/>
      <c r="G142" s="675"/>
      <c r="H142" s="675"/>
      <c r="I142" s="675"/>
      <c r="J142" s="675"/>
      <c r="K142" s="837">
        <f t="shared" si="33"/>
        <v>0</v>
      </c>
    </row>
    <row r="143" spans="2:15">
      <c r="B143" s="835" t="s">
        <v>649</v>
      </c>
      <c r="C143" s="675">
        <f>'R'!C224</f>
        <v>1309372.2</v>
      </c>
      <c r="D143" s="675">
        <f>'R'!E224</f>
        <v>32483187.890000001</v>
      </c>
      <c r="E143" s="573">
        <v>0</v>
      </c>
      <c r="F143" s="631"/>
      <c r="G143" s="675"/>
      <c r="H143" s="675"/>
      <c r="I143" s="675"/>
      <c r="J143" s="675"/>
      <c r="K143" s="837">
        <f t="shared" si="33"/>
        <v>0</v>
      </c>
    </row>
    <row r="144" spans="2:15" ht="18">
      <c r="B144" s="1045" t="s">
        <v>53</v>
      </c>
      <c r="C144" s="1046">
        <f t="shared" ref="C144:K144" si="34">SUM(C138:C143)</f>
        <v>73639822</v>
      </c>
      <c r="D144" s="676">
        <f t="shared" si="34"/>
        <v>63418497.550000004</v>
      </c>
      <c r="E144" s="574">
        <f t="shared" si="34"/>
        <v>30230812.18</v>
      </c>
      <c r="F144" s="632">
        <f>SUM(F138:F143)</f>
        <v>0</v>
      </c>
      <c r="G144" s="676">
        <f t="shared" ref="G144" si="35">SUM(G138:G143)</f>
        <v>0</v>
      </c>
      <c r="H144" s="676">
        <f t="shared" si="34"/>
        <v>0</v>
      </c>
      <c r="I144" s="676">
        <f t="shared" si="34"/>
        <v>0</v>
      </c>
      <c r="J144" s="676">
        <f t="shared" si="34"/>
        <v>0</v>
      </c>
      <c r="K144" s="839">
        <f t="shared" si="34"/>
        <v>0</v>
      </c>
    </row>
    <row r="145" spans="2:11">
      <c r="B145" s="694"/>
      <c r="D145" s="81"/>
      <c r="E145" s="105"/>
      <c r="F145" s="101"/>
      <c r="K145" s="695"/>
    </row>
    <row r="146" spans="2:11">
      <c r="B146" s="754" t="s">
        <v>699</v>
      </c>
      <c r="C146" s="88"/>
      <c r="E146" s="105"/>
      <c r="F146" s="101"/>
      <c r="K146" s="695"/>
    </row>
    <row r="147" spans="2:11">
      <c r="B147" s="795"/>
      <c r="C147" s="673" t="s">
        <v>976</v>
      </c>
      <c r="D147" s="673" t="s">
        <v>421</v>
      </c>
      <c r="E147" s="571" t="s">
        <v>422</v>
      </c>
      <c r="F147" s="629"/>
      <c r="G147" s="673"/>
      <c r="H147" s="673"/>
      <c r="I147" s="673"/>
      <c r="J147" s="673"/>
      <c r="K147" s="834"/>
    </row>
    <row r="148" spans="2:11">
      <c r="B148" s="795" t="s">
        <v>659</v>
      </c>
      <c r="C148" s="677">
        <f>'R'!C236</f>
        <v>7382769.1500000004</v>
      </c>
      <c r="D148" s="677">
        <f>'R'!E236</f>
        <v>7415318.6300000008</v>
      </c>
      <c r="E148" s="575">
        <v>12814799.859999999</v>
      </c>
      <c r="F148" s="633"/>
      <c r="G148" s="677"/>
      <c r="H148" s="677"/>
      <c r="I148" s="677"/>
      <c r="J148" s="677"/>
      <c r="K148" s="837">
        <f t="shared" ref="K148:K149" si="36">SUM(F148:J148)</f>
        <v>0</v>
      </c>
    </row>
    <row r="149" spans="2:11">
      <c r="B149" s="795" t="s">
        <v>661</v>
      </c>
      <c r="C149" s="677">
        <f>'R'!C232</f>
        <v>21518533.710000001</v>
      </c>
      <c r="D149" s="677">
        <f>'R'!E232</f>
        <v>24086515.359999999</v>
      </c>
      <c r="E149" s="575">
        <v>23413071.560000002</v>
      </c>
      <c r="F149" s="633"/>
      <c r="G149" s="677"/>
      <c r="H149" s="677"/>
      <c r="I149" s="677"/>
      <c r="J149" s="677"/>
      <c r="K149" s="837">
        <f t="shared" si="36"/>
        <v>0</v>
      </c>
    </row>
    <row r="150" spans="2:11">
      <c r="B150" s="789" t="s">
        <v>53</v>
      </c>
      <c r="C150" s="661">
        <f t="shared" ref="C150:K150" si="37">SUM(C148:C149)</f>
        <v>28901302.859999999</v>
      </c>
      <c r="D150" s="661">
        <f t="shared" si="37"/>
        <v>31501833.990000002</v>
      </c>
      <c r="E150" s="549">
        <f t="shared" si="37"/>
        <v>36227871.420000002</v>
      </c>
      <c r="F150" s="611">
        <f t="shared" si="37"/>
        <v>0</v>
      </c>
      <c r="G150" s="661">
        <f t="shared" ref="G150" si="38">SUM(G148:G149)</f>
        <v>0</v>
      </c>
      <c r="H150" s="661">
        <f t="shared" si="37"/>
        <v>0</v>
      </c>
      <c r="I150" s="661">
        <f t="shared" si="37"/>
        <v>0</v>
      </c>
      <c r="J150" s="661">
        <f t="shared" si="37"/>
        <v>0</v>
      </c>
      <c r="K150" s="794">
        <f t="shared" si="37"/>
        <v>0</v>
      </c>
    </row>
    <row r="151" spans="2:11">
      <c r="B151" s="694"/>
      <c r="D151" s="81"/>
      <c r="E151" s="105"/>
      <c r="F151" s="101"/>
      <c r="K151" s="695"/>
    </row>
    <row r="152" spans="2:11">
      <c r="B152" s="754" t="s">
        <v>737</v>
      </c>
      <c r="C152" s="88"/>
      <c r="E152" s="105"/>
      <c r="F152" s="101"/>
      <c r="K152" s="695"/>
    </row>
    <row r="153" spans="2:11">
      <c r="B153" s="840"/>
      <c r="C153" s="673" t="s">
        <v>976</v>
      </c>
      <c r="D153" s="673" t="s">
        <v>421</v>
      </c>
      <c r="E153" s="571" t="s">
        <v>422</v>
      </c>
      <c r="F153" s="101"/>
      <c r="K153" s="695"/>
    </row>
    <row r="154" spans="2:11">
      <c r="B154" s="841" t="s">
        <v>738</v>
      </c>
      <c r="C154" s="399">
        <f>'R'!C341</f>
        <v>540071.06000000006</v>
      </c>
      <c r="D154" s="399">
        <f>'R'!E341</f>
        <v>138501.76000000001</v>
      </c>
      <c r="E154" s="518">
        <v>566142.78</v>
      </c>
      <c r="F154" s="576"/>
      <c r="G154" s="399"/>
      <c r="H154" s="399"/>
      <c r="I154" s="399"/>
      <c r="J154" s="399"/>
      <c r="K154" s="738">
        <f t="shared" ref="K154:K162" si="39">SUM(F154:J154)</f>
        <v>0</v>
      </c>
    </row>
    <row r="155" spans="2:11">
      <c r="B155" s="1076" t="s">
        <v>739</v>
      </c>
      <c r="C155" s="401">
        <f>'R'!C344</f>
        <v>1481775.89</v>
      </c>
      <c r="D155" s="401">
        <f>'R'!E344</f>
        <v>74512.41</v>
      </c>
      <c r="E155" s="1067">
        <v>330376.3</v>
      </c>
      <c r="F155" s="1068"/>
      <c r="G155" s="401"/>
      <c r="H155" s="401"/>
      <c r="I155" s="401"/>
      <c r="J155" s="401"/>
      <c r="K155" s="1069">
        <f t="shared" si="39"/>
        <v>0</v>
      </c>
    </row>
    <row r="156" spans="2:11">
      <c r="B156" s="774" t="s">
        <v>740</v>
      </c>
      <c r="C156" s="92">
        <f>'R'!C356</f>
        <v>1504523.34</v>
      </c>
      <c r="D156" s="92">
        <f>'R'!E354+'R'!E355</f>
        <v>1475445.84</v>
      </c>
      <c r="E156" s="412">
        <v>1059139.27</v>
      </c>
      <c r="F156" s="612"/>
      <c r="G156" s="92"/>
      <c r="H156" s="92"/>
      <c r="I156" s="92"/>
      <c r="J156" s="92"/>
      <c r="K156" s="796">
        <f t="shared" si="39"/>
        <v>0</v>
      </c>
    </row>
    <row r="157" spans="2:11">
      <c r="B157" s="1082" t="s">
        <v>741</v>
      </c>
      <c r="C157" s="402">
        <f>'R'!C363</f>
        <v>5212368.8099999996</v>
      </c>
      <c r="D157" s="402">
        <f>'R'!E363</f>
        <v>2280419.37</v>
      </c>
      <c r="E157" s="1083">
        <v>970995.11</v>
      </c>
      <c r="F157" s="1084"/>
      <c r="G157" s="402"/>
      <c r="H157" s="402"/>
      <c r="I157" s="402"/>
      <c r="J157" s="402"/>
      <c r="K157" s="1085">
        <f t="shared" si="39"/>
        <v>0</v>
      </c>
    </row>
    <row r="158" spans="2:11">
      <c r="B158" s="1077" t="s">
        <v>742</v>
      </c>
      <c r="C158" s="87">
        <f>'R'!C349</f>
        <v>7872401.459999999</v>
      </c>
      <c r="D158" s="87">
        <f>'R'!E348</f>
        <v>1596684.4599999995</v>
      </c>
      <c r="E158" s="251">
        <v>2287010.5</v>
      </c>
      <c r="F158" s="577"/>
      <c r="G158" s="87"/>
      <c r="H158" s="87"/>
      <c r="I158" s="87"/>
      <c r="J158" s="87"/>
      <c r="K158" s="746">
        <f t="shared" si="39"/>
        <v>0</v>
      </c>
    </row>
    <row r="159" spans="2:11">
      <c r="B159" s="1077" t="s">
        <v>743</v>
      </c>
      <c r="C159" s="87">
        <f>'R'!C350</f>
        <v>2162924.56</v>
      </c>
      <c r="D159" s="87">
        <f>'R'!E349</f>
        <v>2385880.31</v>
      </c>
      <c r="E159" s="251">
        <v>1317606.25</v>
      </c>
      <c r="F159" s="577"/>
      <c r="G159" s="87"/>
      <c r="H159" s="87"/>
      <c r="I159" s="87"/>
      <c r="J159" s="87"/>
      <c r="K159" s="746">
        <f t="shared" si="39"/>
        <v>0</v>
      </c>
    </row>
    <row r="160" spans="2:11">
      <c r="B160" s="1078" t="s">
        <v>744</v>
      </c>
      <c r="C160" s="403">
        <f>'R'!C353</f>
        <v>2743778.31</v>
      </c>
      <c r="D160" s="403">
        <f>'R'!E353</f>
        <v>2431722.25</v>
      </c>
      <c r="E160" s="1070">
        <v>2743495.6100000003</v>
      </c>
      <c r="F160" s="1071"/>
      <c r="G160" s="403"/>
      <c r="H160" s="403"/>
      <c r="I160" s="403"/>
      <c r="J160" s="403"/>
      <c r="K160" s="1072">
        <f t="shared" si="39"/>
        <v>0</v>
      </c>
    </row>
    <row r="161" spans="2:11">
      <c r="B161" s="842" t="s">
        <v>745</v>
      </c>
      <c r="C161" s="404">
        <f>'R'!C367</f>
        <v>559657.83999999985</v>
      </c>
      <c r="D161" s="404">
        <f>'R'!E367</f>
        <v>2282148.21</v>
      </c>
      <c r="E161" s="417">
        <v>643236.34</v>
      </c>
      <c r="F161" s="578"/>
      <c r="G161" s="404"/>
      <c r="H161" s="404"/>
      <c r="I161" s="404"/>
      <c r="J161" s="404"/>
      <c r="K161" s="742">
        <f t="shared" si="39"/>
        <v>0</v>
      </c>
    </row>
    <row r="162" spans="2:11">
      <c r="B162" s="842" t="s">
        <v>746</v>
      </c>
      <c r="C162" s="404">
        <f>'R'!C368</f>
        <v>2736979.67</v>
      </c>
      <c r="D162" s="404">
        <f>'R'!E368</f>
        <v>1231428.97</v>
      </c>
      <c r="E162" s="417">
        <v>72921.33</v>
      </c>
      <c r="F162" s="578"/>
      <c r="G162" s="404"/>
      <c r="H162" s="404"/>
      <c r="I162" s="404"/>
      <c r="J162" s="404"/>
      <c r="K162" s="742">
        <f t="shared" si="39"/>
        <v>0</v>
      </c>
    </row>
    <row r="163" spans="2:11">
      <c r="B163" s="1022" t="s">
        <v>992</v>
      </c>
      <c r="C163" s="1023">
        <f>'R'!C361</f>
        <v>9023775.4000000004</v>
      </c>
      <c r="D163" s="1023"/>
      <c r="E163" s="1040"/>
      <c r="F163" s="1041"/>
      <c r="G163" s="1023"/>
      <c r="H163" s="1023"/>
      <c r="I163" s="1023"/>
      <c r="J163" s="1023"/>
      <c r="K163" s="1042"/>
    </row>
    <row r="164" spans="2:11">
      <c r="B164" s="789" t="s">
        <v>53</v>
      </c>
      <c r="C164" s="661">
        <f>SUM(C154:C163)</f>
        <v>33838256.339999996</v>
      </c>
      <c r="D164" s="661">
        <f>SUM(D154:D162)</f>
        <v>13896743.58</v>
      </c>
      <c r="E164" s="549">
        <f>SUM(E154:E162)</f>
        <v>9990923.4900000002</v>
      </c>
      <c r="F164" s="611">
        <f t="shared" ref="F164:K164" si="40">SUM(F154:F162)</f>
        <v>0</v>
      </c>
      <c r="G164" s="661">
        <f t="shared" ref="G164" si="41">SUM(G154:G162)</f>
        <v>0</v>
      </c>
      <c r="H164" s="661">
        <f t="shared" si="40"/>
        <v>0</v>
      </c>
      <c r="I164" s="661">
        <f t="shared" si="40"/>
        <v>0</v>
      </c>
      <c r="J164" s="661">
        <f t="shared" si="40"/>
        <v>0</v>
      </c>
      <c r="K164" s="794">
        <f t="shared" si="40"/>
        <v>0</v>
      </c>
    </row>
    <row r="165" spans="2:11">
      <c r="B165" s="694"/>
      <c r="E165" s="105"/>
      <c r="F165" s="101"/>
      <c r="K165" s="695"/>
    </row>
    <row r="166" spans="2:11">
      <c r="B166" s="754" t="s">
        <v>702</v>
      </c>
      <c r="C166" s="673" t="s">
        <v>976</v>
      </c>
      <c r="D166" s="673" t="s">
        <v>421</v>
      </c>
      <c r="E166" s="571" t="s">
        <v>422</v>
      </c>
      <c r="F166" s="101"/>
      <c r="K166" s="695"/>
    </row>
    <row r="167" spans="2:11">
      <c r="B167" s="789" t="s">
        <v>895</v>
      </c>
      <c r="C167" s="661"/>
      <c r="D167" s="843"/>
      <c r="E167" s="579"/>
      <c r="F167" s="101"/>
      <c r="K167" s="695"/>
    </row>
    <row r="168" spans="2:11">
      <c r="B168" s="745" t="s">
        <v>667</v>
      </c>
      <c r="C168" s="87">
        <f>P!C115</f>
        <v>91230212.700000003</v>
      </c>
      <c r="D168" s="87">
        <f>P!E115</f>
        <v>1042326.28</v>
      </c>
      <c r="E168" s="251">
        <v>5606369.1500000004</v>
      </c>
      <c r="F168" s="577"/>
      <c r="G168" s="87"/>
      <c r="H168" s="87"/>
      <c r="I168" s="87"/>
      <c r="J168" s="87"/>
      <c r="K168" s="746">
        <f t="shared" ref="K168" si="42">SUM(F168:J168)</f>
        <v>0</v>
      </c>
    </row>
    <row r="169" spans="2:11">
      <c r="B169" s="795"/>
      <c r="C169" s="661">
        <f>SUM(C167:C168)</f>
        <v>91230212.700000003</v>
      </c>
      <c r="D169" s="661">
        <f>SUM(D167:D168)</f>
        <v>1042326.28</v>
      </c>
      <c r="E169" s="549">
        <f>SUM(E167:E168)</f>
        <v>5606369.1500000004</v>
      </c>
      <c r="F169" s="611">
        <f>SUM(F167:F168)</f>
        <v>0</v>
      </c>
      <c r="G169" s="661">
        <f t="shared" ref="G169" si="43">SUM(G167:G168)</f>
        <v>0</v>
      </c>
      <c r="H169" s="661">
        <f t="shared" ref="F169:K169" si="44">SUM(H167:H168)</f>
        <v>0</v>
      </c>
      <c r="I169" s="661">
        <f t="shared" si="44"/>
        <v>0</v>
      </c>
      <c r="J169" s="661">
        <f t="shared" si="44"/>
        <v>0</v>
      </c>
      <c r="K169" s="794">
        <f t="shared" si="44"/>
        <v>0</v>
      </c>
    </row>
    <row r="170" spans="2:11">
      <c r="B170" s="789" t="s">
        <v>668</v>
      </c>
      <c r="C170" s="661"/>
      <c r="D170" s="677"/>
      <c r="E170" s="575"/>
      <c r="F170" s="633"/>
      <c r="G170" s="677"/>
      <c r="H170" s="677"/>
      <c r="I170" s="677"/>
      <c r="J170" s="677"/>
      <c r="K170" s="844"/>
    </row>
    <row r="171" spans="2:11">
      <c r="B171" s="735" t="s">
        <v>667</v>
      </c>
      <c r="C171" s="191">
        <f>P!C120</f>
        <v>392609.93</v>
      </c>
      <c r="D171" s="191">
        <f>P!E120</f>
        <v>636807.38</v>
      </c>
      <c r="E171" s="517">
        <v>1004092.1900000001</v>
      </c>
      <c r="F171" s="555"/>
      <c r="G171" s="191"/>
      <c r="H171" s="191"/>
      <c r="I171" s="191"/>
      <c r="J171" s="191"/>
      <c r="K171" s="736">
        <f t="shared" ref="K171:K173" si="45">SUM(F171:J171)</f>
        <v>0</v>
      </c>
    </row>
    <row r="172" spans="2:11">
      <c r="B172" s="845" t="s">
        <v>669</v>
      </c>
      <c r="C172" s="678">
        <f>P!C126</f>
        <v>617500.25</v>
      </c>
      <c r="D172" s="678">
        <f>P!E125</f>
        <v>958869.46</v>
      </c>
      <c r="E172" s="580">
        <v>7491943.2300000004</v>
      </c>
      <c r="F172" s="634"/>
      <c r="G172" s="678"/>
      <c r="H172" s="678"/>
      <c r="I172" s="678"/>
      <c r="J172" s="678"/>
      <c r="K172" s="846">
        <f t="shared" si="45"/>
        <v>0</v>
      </c>
    </row>
    <row r="173" spans="2:11">
      <c r="B173" s="847" t="s">
        <v>670</v>
      </c>
      <c r="C173" s="679">
        <f>P!C127</f>
        <v>6032</v>
      </c>
      <c r="D173" s="679">
        <f>P!E127</f>
        <v>2691.2</v>
      </c>
      <c r="E173" s="581">
        <v>0</v>
      </c>
      <c r="F173" s="635"/>
      <c r="G173" s="679"/>
      <c r="H173" s="679"/>
      <c r="I173" s="679"/>
      <c r="J173" s="679"/>
      <c r="K173" s="848">
        <f t="shared" si="45"/>
        <v>0</v>
      </c>
    </row>
    <row r="174" spans="2:11">
      <c r="B174" s="795"/>
      <c r="C174" s="661">
        <f>SUM(C171:C173)</f>
        <v>1016142.1799999999</v>
      </c>
      <c r="D174" s="661">
        <f>SUM(D171:D173)</f>
        <v>1598368.0399999998</v>
      </c>
      <c r="E174" s="549">
        <f>SUM(E171:E173)</f>
        <v>8496035.4199999999</v>
      </c>
      <c r="F174" s="611">
        <f>SUM(F171:F173)</f>
        <v>0</v>
      </c>
      <c r="G174" s="661">
        <f t="shared" ref="G174" si="46">SUM(G171:G173)</f>
        <v>0</v>
      </c>
      <c r="H174" s="661">
        <f t="shared" ref="F174:K174" si="47">SUM(H171:H173)</f>
        <v>0</v>
      </c>
      <c r="I174" s="661">
        <f t="shared" si="47"/>
        <v>0</v>
      </c>
      <c r="J174" s="661">
        <f t="shared" si="47"/>
        <v>0</v>
      </c>
      <c r="K174" s="794">
        <f t="shared" si="47"/>
        <v>0</v>
      </c>
    </row>
    <row r="175" spans="2:11">
      <c r="B175" s="789" t="s">
        <v>53</v>
      </c>
      <c r="C175" s="661">
        <f>C169+C174</f>
        <v>92246354.88000001</v>
      </c>
      <c r="D175" s="661">
        <f>D169+D174</f>
        <v>2640694.3199999998</v>
      </c>
      <c r="E175" s="549">
        <f>E169+E174</f>
        <v>14102404.57</v>
      </c>
      <c r="F175" s="611">
        <f>F169+F174</f>
        <v>0</v>
      </c>
      <c r="G175" s="661">
        <f t="shared" ref="G175" si="48">G169+G174</f>
        <v>0</v>
      </c>
      <c r="H175" s="661">
        <f t="shared" ref="F175:K175" si="49">H169+H174</f>
        <v>0</v>
      </c>
      <c r="I175" s="661">
        <f t="shared" si="49"/>
        <v>0</v>
      </c>
      <c r="J175" s="661">
        <f t="shared" si="49"/>
        <v>0</v>
      </c>
      <c r="K175" s="794">
        <f t="shared" si="49"/>
        <v>0</v>
      </c>
    </row>
    <row r="176" spans="2:11">
      <c r="B176" s="694"/>
      <c r="E176" s="105"/>
      <c r="F176" s="101"/>
      <c r="K176" s="695"/>
    </row>
    <row r="177" spans="1:12">
      <c r="B177" s="694"/>
      <c r="E177" s="105"/>
      <c r="F177" s="101"/>
      <c r="K177" s="695"/>
    </row>
    <row r="178" spans="1:12">
      <c r="B178" s="754" t="s">
        <v>703</v>
      </c>
      <c r="C178" s="673" t="s">
        <v>976</v>
      </c>
      <c r="D178" s="673" t="s">
        <v>421</v>
      </c>
      <c r="E178" s="571" t="s">
        <v>422</v>
      </c>
      <c r="F178" s="101"/>
      <c r="K178" s="695"/>
    </row>
    <row r="179" spans="1:12">
      <c r="B179" s="789"/>
      <c r="C179" s="661"/>
      <c r="E179" s="105"/>
      <c r="F179" s="101"/>
      <c r="K179" s="695"/>
    </row>
    <row r="180" spans="1:12">
      <c r="B180" s="849" t="s">
        <v>700</v>
      </c>
      <c r="C180" s="426">
        <f>'R'!C397</f>
        <v>0.16</v>
      </c>
      <c r="D180" s="426">
        <f>'R'!E397</f>
        <v>210335.73</v>
      </c>
      <c r="E180" s="427">
        <v>342910.55999999994</v>
      </c>
      <c r="F180" s="636"/>
      <c r="G180" s="426"/>
      <c r="H180" s="426"/>
      <c r="I180" s="426"/>
      <c r="J180" s="426"/>
      <c r="K180" s="850">
        <f t="shared" ref="K180" si="50">SUM(F180:J180)</f>
        <v>0</v>
      </c>
    </row>
    <row r="181" spans="1:12">
      <c r="B181" s="795"/>
      <c r="C181" s="677"/>
      <c r="D181" s="661"/>
      <c r="E181" s="549"/>
      <c r="F181" s="611"/>
      <c r="G181" s="661"/>
      <c r="H181" s="661"/>
      <c r="I181" s="661"/>
      <c r="J181" s="661"/>
      <c r="K181" s="794"/>
    </row>
    <row r="182" spans="1:12">
      <c r="B182" s="789" t="s">
        <v>668</v>
      </c>
      <c r="C182" s="661"/>
      <c r="E182" s="105"/>
      <c r="F182" s="101"/>
      <c r="K182" s="695"/>
    </row>
    <row r="183" spans="1:12">
      <c r="B183" s="745" t="s">
        <v>680</v>
      </c>
      <c r="C183" s="87">
        <f>'R'!C403</f>
        <v>7820806.4500000002</v>
      </c>
      <c r="D183" s="87">
        <f>'R'!E403</f>
        <v>4538479.4000000004</v>
      </c>
      <c r="E183" s="251">
        <v>4177678.63</v>
      </c>
      <c r="F183" s="577"/>
      <c r="G183" s="87"/>
      <c r="H183" s="87"/>
      <c r="I183" s="87"/>
      <c r="J183" s="87"/>
      <c r="K183" s="746">
        <f t="shared" ref="K183:K184" si="51">SUM(F183:J183)</f>
        <v>0</v>
      </c>
    </row>
    <row r="184" spans="1:12">
      <c r="B184" s="851" t="s">
        <v>681</v>
      </c>
      <c r="C184" s="206">
        <f>'R'!C409</f>
        <v>1609474.26</v>
      </c>
      <c r="D184" s="206">
        <f>'R'!E409</f>
        <v>2842250.3899999997</v>
      </c>
      <c r="E184" s="439">
        <v>4508231.1800000006</v>
      </c>
      <c r="F184" s="637"/>
      <c r="G184" s="206"/>
      <c r="H184" s="206"/>
      <c r="I184" s="206"/>
      <c r="J184" s="206"/>
      <c r="K184" s="852">
        <f t="shared" si="51"/>
        <v>0</v>
      </c>
    </row>
    <row r="185" spans="1:12">
      <c r="B185" s="789" t="s">
        <v>53</v>
      </c>
      <c r="C185" s="661">
        <f t="shared" ref="C185:E185" si="52">SUM(C183:C184)</f>
        <v>9430280.7100000009</v>
      </c>
      <c r="D185" s="661">
        <f t="shared" si="52"/>
        <v>7380729.79</v>
      </c>
      <c r="E185" s="549">
        <f t="shared" si="52"/>
        <v>8685909.8100000005</v>
      </c>
      <c r="F185" s="638">
        <f>SUM(F183:F184)</f>
        <v>0</v>
      </c>
      <c r="G185" s="680">
        <f t="shared" ref="G185" si="53">SUM(G183:G184)</f>
        <v>0</v>
      </c>
      <c r="H185" s="680">
        <f t="shared" ref="F185:K185" si="54">SUM(H183:H184)</f>
        <v>0</v>
      </c>
      <c r="I185" s="680">
        <f t="shared" si="54"/>
        <v>0</v>
      </c>
      <c r="J185" s="680">
        <f t="shared" si="54"/>
        <v>0</v>
      </c>
      <c r="K185" s="853">
        <f t="shared" si="54"/>
        <v>0</v>
      </c>
    </row>
    <row r="186" spans="1:12">
      <c r="B186" s="795"/>
      <c r="C186" s="677"/>
      <c r="D186" s="661"/>
      <c r="E186" s="549"/>
      <c r="F186" s="611"/>
      <c r="G186" s="661"/>
      <c r="H186" s="661"/>
      <c r="I186" s="661"/>
      <c r="J186" s="661"/>
      <c r="K186" s="794"/>
    </row>
    <row r="187" spans="1:12">
      <c r="B187" s="854" t="s">
        <v>682</v>
      </c>
      <c r="C187" s="855">
        <f>'R'!C413</f>
        <v>935517.84000000008</v>
      </c>
      <c r="D187" s="855">
        <f>'R'!E413</f>
        <v>1155395.6299999999</v>
      </c>
      <c r="E187" s="582">
        <v>1181992.5900000001</v>
      </c>
      <c r="F187" s="639"/>
      <c r="G187" s="681"/>
      <c r="H187" s="681"/>
      <c r="I187" s="681"/>
      <c r="J187" s="681"/>
      <c r="K187" s="856">
        <f t="shared" ref="K187" si="55">SUM(F187:J187)</f>
        <v>0</v>
      </c>
    </row>
    <row r="188" spans="1:12">
      <c r="B188" s="789"/>
      <c r="C188" s="661"/>
      <c r="D188" s="661"/>
      <c r="E188" s="549"/>
      <c r="F188" s="611"/>
      <c r="G188" s="661"/>
      <c r="H188" s="661"/>
      <c r="I188" s="661"/>
      <c r="J188" s="661"/>
      <c r="K188" s="794"/>
    </row>
    <row r="189" spans="1:12">
      <c r="B189" s="789" t="s">
        <v>53</v>
      </c>
      <c r="C189" s="661">
        <f>C180+C185+C187+C195</f>
        <v>10365798.710000001</v>
      </c>
      <c r="D189" s="661">
        <f>D180+D185+D187</f>
        <v>8746461.1500000004</v>
      </c>
      <c r="E189" s="549">
        <f>E180+E185+E187</f>
        <v>10210812.960000001</v>
      </c>
      <c r="F189" s="611">
        <f>F180+F185+F187</f>
        <v>0</v>
      </c>
      <c r="G189" s="661">
        <f>G180+G185+G187</f>
        <v>0</v>
      </c>
      <c r="H189" s="661">
        <f>H180+H185+H187</f>
        <v>0</v>
      </c>
      <c r="I189" s="661">
        <f>I180+I185+I187</f>
        <v>0</v>
      </c>
      <c r="J189" s="661">
        <f>J180+J185+J187</f>
        <v>0</v>
      </c>
      <c r="K189" s="794">
        <f>K180+K185+K187</f>
        <v>0</v>
      </c>
    </row>
    <row r="190" spans="1:12" ht="15" thickBot="1">
      <c r="B190" s="702"/>
      <c r="C190" s="932"/>
      <c r="D190" s="703"/>
      <c r="E190" s="857"/>
      <c r="F190" s="858"/>
      <c r="G190" s="703"/>
      <c r="H190" s="703"/>
      <c r="I190" s="703"/>
      <c r="J190" s="703"/>
      <c r="K190" s="859"/>
    </row>
    <row r="191" spans="1:12" ht="15" thickBot="1">
      <c r="A191" s="1227"/>
      <c r="B191" s="1226"/>
      <c r="C191" s="661"/>
      <c r="D191" s="661"/>
      <c r="E191" s="549"/>
      <c r="F191" s="611"/>
      <c r="G191" s="661"/>
      <c r="H191" s="661"/>
      <c r="I191" s="661"/>
      <c r="J191" s="661"/>
      <c r="K191" s="1211"/>
      <c r="L191" s="1227"/>
    </row>
    <row r="192" spans="1:12">
      <c r="B192" s="1212" t="s">
        <v>998</v>
      </c>
      <c r="C192" s="1213"/>
      <c r="D192" s="1213"/>
      <c r="E192" s="1214"/>
      <c r="F192" s="1215"/>
      <c r="G192" s="1213"/>
      <c r="H192" s="1213"/>
      <c r="I192" s="1213"/>
      <c r="J192" s="1213"/>
      <c r="K192" s="1216"/>
    </row>
    <row r="193" spans="2:11">
      <c r="B193" s="1217" t="s">
        <v>1001</v>
      </c>
      <c r="C193" s="1218"/>
      <c r="D193" s="1218"/>
      <c r="E193" s="1219"/>
      <c r="F193" s="1220"/>
      <c r="G193" s="1218"/>
      <c r="H193" s="1218"/>
      <c r="I193" s="1218"/>
      <c r="J193" s="1218"/>
      <c r="K193" s="1221"/>
    </row>
    <row r="194" spans="2:11">
      <c r="B194" s="1217" t="s">
        <v>1002</v>
      </c>
      <c r="C194" s="1218"/>
      <c r="D194" s="1218"/>
      <c r="E194" s="1219"/>
      <c r="F194" s="1220"/>
      <c r="G194" s="1218"/>
      <c r="H194" s="1218"/>
      <c r="I194" s="1218"/>
      <c r="J194" s="1218"/>
      <c r="K194" s="1221"/>
    </row>
    <row r="195" spans="2:11">
      <c r="B195" s="1217" t="s">
        <v>999</v>
      </c>
      <c r="C195" s="1218"/>
      <c r="D195" s="1218"/>
      <c r="E195" s="1219"/>
      <c r="F195" s="1220">
        <v>0</v>
      </c>
      <c r="G195" s="1218">
        <v>0</v>
      </c>
      <c r="H195" s="1218">
        <v>0</v>
      </c>
      <c r="I195" s="1218">
        <v>0</v>
      </c>
      <c r="J195" s="1218">
        <f>-I195-H195-F195</f>
        <v>0</v>
      </c>
      <c r="K195" s="1221"/>
    </row>
    <row r="196" spans="2:11" ht="15" thickBot="1">
      <c r="B196" s="1222" t="s">
        <v>1000</v>
      </c>
      <c r="C196" s="1223"/>
      <c r="D196" s="1224"/>
      <c r="E196" s="1224"/>
      <c r="F196" s="1224"/>
      <c r="G196" s="1224"/>
      <c r="H196" s="1224"/>
      <c r="I196" s="1224"/>
      <c r="J196" s="1224"/>
      <c r="K196" s="1225"/>
    </row>
    <row r="197" spans="2:11" ht="15" thickBot="1"/>
    <row r="198" spans="2:11">
      <c r="B198" s="682" t="s">
        <v>926</v>
      </c>
      <c r="C198" s="704"/>
      <c r="D198" s="683"/>
      <c r="E198" s="683"/>
      <c r="F198" s="683"/>
      <c r="G198" s="683"/>
      <c r="H198" s="683"/>
      <c r="I198" s="683"/>
      <c r="J198" s="683"/>
      <c r="K198" s="684"/>
    </row>
    <row r="199" spans="2:11">
      <c r="B199" s="685"/>
      <c r="C199" s="514"/>
      <c r="D199" s="462"/>
      <c r="E199" s="462"/>
      <c r="F199" s="462"/>
      <c r="G199" s="462"/>
      <c r="H199" s="462"/>
      <c r="I199" s="462"/>
      <c r="J199" s="462"/>
      <c r="K199" s="686"/>
    </row>
    <row r="200" spans="2:11">
      <c r="B200" s="685" t="s">
        <v>928</v>
      </c>
      <c r="C200" s="514"/>
      <c r="D200" s="462"/>
      <c r="E200" s="462"/>
      <c r="F200" s="462">
        <v>1</v>
      </c>
      <c r="G200" s="462">
        <v>1</v>
      </c>
      <c r="H200" s="462">
        <v>1</v>
      </c>
      <c r="I200" s="462">
        <v>1</v>
      </c>
      <c r="J200" s="462"/>
      <c r="K200" s="686"/>
    </row>
    <row r="201" spans="2:11">
      <c r="B201" s="685"/>
      <c r="C201" s="514"/>
      <c r="D201" s="462"/>
      <c r="E201" s="462"/>
      <c r="F201" s="462"/>
      <c r="G201" s="462"/>
      <c r="H201" s="462"/>
      <c r="I201" s="462"/>
      <c r="J201" s="462"/>
      <c r="K201" s="686"/>
    </row>
    <row r="202" spans="2:11">
      <c r="B202" s="713" t="s">
        <v>927</v>
      </c>
      <c r="C202" s="714">
        <f>Bilanca!B47*0.03%</f>
        <v>2400773.4198392699</v>
      </c>
      <c r="D202" s="714">
        <f>Bilanca!D47*0.03%</f>
        <v>2192934.9038579999</v>
      </c>
      <c r="E202" s="715"/>
      <c r="F202" s="716">
        <v>0.3</v>
      </c>
      <c r="G202" s="716">
        <v>0.15</v>
      </c>
      <c r="H202" s="716">
        <v>0.4</v>
      </c>
      <c r="I202" s="716">
        <v>0.15</v>
      </c>
      <c r="J202" s="715"/>
      <c r="K202" s="717"/>
    </row>
    <row r="203" spans="2:11">
      <c r="B203" s="685"/>
      <c r="C203" s="514"/>
      <c r="D203" s="462"/>
      <c r="E203" s="462"/>
      <c r="F203" s="462"/>
      <c r="G203" s="462"/>
      <c r="H203" s="462"/>
      <c r="I203" s="462"/>
      <c r="J203" s="462"/>
      <c r="K203" s="686"/>
    </row>
    <row r="204" spans="2:11" ht="15" thickBot="1">
      <c r="B204" s="687" t="s">
        <v>929</v>
      </c>
      <c r="C204" s="707"/>
      <c r="D204" s="688"/>
      <c r="E204" s="688"/>
      <c r="F204" s="689">
        <f>F202*$D$202</f>
        <v>657880.47115739994</v>
      </c>
      <c r="G204" s="689">
        <f t="shared" ref="G204:I204" si="56">G202*$D$202</f>
        <v>328940.23557869997</v>
      </c>
      <c r="H204" s="689">
        <f t="shared" si="56"/>
        <v>877173.96154320007</v>
      </c>
      <c r="I204" s="689">
        <f t="shared" si="56"/>
        <v>328940.23557869997</v>
      </c>
      <c r="J204" s="688"/>
      <c r="K204" s="690"/>
    </row>
    <row r="205" spans="2:11" ht="15" thickBot="1"/>
    <row r="206" spans="2:11">
      <c r="B206" s="692" t="s">
        <v>938</v>
      </c>
      <c r="C206" s="933"/>
      <c r="D206" s="640"/>
      <c r="E206" s="640"/>
      <c r="F206" s="640"/>
      <c r="G206" s="640"/>
      <c r="H206" s="640"/>
      <c r="I206" s="640"/>
      <c r="J206" s="640"/>
      <c r="K206" s="693"/>
    </row>
    <row r="207" spans="2:11">
      <c r="B207" s="694"/>
      <c r="K207" s="695"/>
    </row>
    <row r="208" spans="2:11">
      <c r="B208" s="685" t="s">
        <v>368</v>
      </c>
      <c r="C208" s="514">
        <f>C20+C35+SUM(C41:C44)+C47+C50+C54+C60+C67-C64</f>
        <v>216223118.28</v>
      </c>
      <c r="D208" s="514">
        <f>D20+D35+SUM(D41:D44)+D47+D50+D54+D60+D67-D64</f>
        <v>229713785.00999999</v>
      </c>
      <c r="E208" s="514">
        <f>E20+E35+SUM(E41:E44)+E47+E50+E54+E60+E67-E64</f>
        <v>210806925.47</v>
      </c>
      <c r="F208" s="514">
        <f>F20+F35+SUM(F41:F44)+F47+F50+F54+F60+F67-F64</f>
        <v>0</v>
      </c>
      <c r="G208" s="514">
        <f>G20+G35+SUM(G41:G44)+G47+G50+G54+G60+G67-G64</f>
        <v>0</v>
      </c>
      <c r="H208" s="514">
        <f>H20+H35+SUM(H41:H44)+H47+H50+H54+H60+H67-H64</f>
        <v>0</v>
      </c>
      <c r="I208" s="514">
        <f>I20+I35+SUM(I41:I44)+I47+I50+I54+I60+I67-I64</f>
        <v>0</v>
      </c>
      <c r="J208" s="514">
        <f>J20+J35+SUM(J41:J44)+J47+J50+J54+J60+J67-J64</f>
        <v>0</v>
      </c>
      <c r="K208" s="706">
        <f>K20+K35+SUM(K41:K44)+K47+K50+K54+K60+K67-K64</f>
        <v>0</v>
      </c>
    </row>
    <row r="209" spans="2:11">
      <c r="B209" s="685" t="s">
        <v>386</v>
      </c>
      <c r="C209" s="514">
        <f>C175</f>
        <v>92246354.88000001</v>
      </c>
      <c r="D209" s="514">
        <f>D175</f>
        <v>2640694.3199999998</v>
      </c>
      <c r="E209" s="514">
        <f>E175</f>
        <v>14102404.57</v>
      </c>
      <c r="F209" s="514">
        <f>F175</f>
        <v>0</v>
      </c>
      <c r="G209" s="514">
        <f>G175</f>
        <v>0</v>
      </c>
      <c r="H209" s="514">
        <f>H175</f>
        <v>0</v>
      </c>
      <c r="I209" s="514">
        <f>I175</f>
        <v>0</v>
      </c>
      <c r="J209" s="514">
        <f>J175</f>
        <v>0</v>
      </c>
      <c r="K209" s="706">
        <f>K175</f>
        <v>0</v>
      </c>
    </row>
    <row r="210" spans="2:11">
      <c r="B210" s="694" t="s">
        <v>933</v>
      </c>
      <c r="C210" s="1086">
        <f>'PiR-popis'!C53+'PiR-popis'!C52+'PiR-popis'!C49+'PiR-popis'!C48+'PiR-popis'!C45+C64</f>
        <v>205284006.09</v>
      </c>
      <c r="D210" s="81">
        <f>'PiR-popis'!D53+'PiR-popis'!D52+'PiR-popis'!D49+'PiR-popis'!D48+'PiR-popis'!D45+D64</f>
        <v>34862190.119999997</v>
      </c>
      <c r="E210" s="81">
        <f>'PiR-popis'!E53+'PiR-popis'!E52+'PiR-popis'!E49+'PiR-popis'!E48+'PiR-popis'!E45+E64</f>
        <v>88648163.749999985</v>
      </c>
      <c r="F210" s="81">
        <f>'PiR-popis'!F53+'PiR-popis'!F52+'PiR-popis'!F49+'PiR-popis'!F48+'PiR-popis'!F45+F64</f>
        <v>0</v>
      </c>
      <c r="G210" s="81">
        <f>'PiR-popis'!G53+'PiR-popis'!G52+'PiR-popis'!G49+'PiR-popis'!G48+'PiR-popis'!G45+G64</f>
        <v>0</v>
      </c>
      <c r="H210" s="81">
        <f>'PiR-popis'!H53+'PiR-popis'!H52+'PiR-popis'!H49+'PiR-popis'!H48+'PiR-popis'!H45+H64</f>
        <v>0</v>
      </c>
      <c r="I210" s="81">
        <f>'PiR-popis'!I53+'PiR-popis'!I52+'PiR-popis'!I49+'PiR-popis'!I48+'PiR-popis'!I45+I64</f>
        <v>0</v>
      </c>
      <c r="J210" s="81">
        <f>'PiR-popis'!J53+'PiR-popis'!J52+'PiR-popis'!J49+'PiR-popis'!J48+'PiR-popis'!J45+J64</f>
        <v>0</v>
      </c>
      <c r="K210" s="696">
        <f>'PiR-popis'!K53+'PiR-popis'!K52+'PiR-popis'!K49+'PiR-popis'!K48+'PiR-popis'!K45+K64</f>
        <v>0</v>
      </c>
    </row>
    <row r="211" spans="2:11" s="691" customFormat="1" ht="10.199999999999999" thickBot="1">
      <c r="B211" s="699" t="s">
        <v>936</v>
      </c>
      <c r="C211" s="700"/>
      <c r="D211" s="700">
        <f>D20+D35+D55+D60+D67-(D38+D39+D40+D51)-D208-D210+D175-D209</f>
        <v>7.4505805969238281E-9</v>
      </c>
      <c r="E211" s="700">
        <f>E20+E35+E55+E60+E67-(E38+E39+E40+E51)-E208-E210+E175-E209</f>
        <v>-1.9371509552001953E-7</v>
      </c>
      <c r="F211" s="700">
        <f>F20+F35+F55+F60+F67-(F38+F39+F40+F51)-F208-F210+F175-F209</f>
        <v>0</v>
      </c>
      <c r="G211" s="700">
        <f>G20+G35+G55+G60+G67-(G38+G39+G40+G51)-G208-G210+G175-G209</f>
        <v>0</v>
      </c>
      <c r="H211" s="700">
        <f>H20+H35+H55+H60+H67-(H38+H39+H40+H51)-H208-H210+H175-H209</f>
        <v>0</v>
      </c>
      <c r="I211" s="700">
        <f>I20+I35+I55+I60+I67-(I38+I39+I40+I51)-I208-I210+I175-I209</f>
        <v>0</v>
      </c>
      <c r="J211" s="700">
        <f>J20+J35+J55+J60+J67-(J38+J39+J40+J51)-J208-J210+J175-J209</f>
        <v>0</v>
      </c>
      <c r="K211" s="701">
        <f>K20+K35+K55+K60+K67-(K38+K39+K40+K51)-K208-K210+K175-K209</f>
        <v>0</v>
      </c>
    </row>
    <row r="212" spans="2:11" ht="15" thickBot="1">
      <c r="D212" s="81"/>
      <c r="E212" s="81"/>
      <c r="F212" s="81"/>
      <c r="G212" s="81"/>
      <c r="H212" s="81"/>
      <c r="I212" s="81"/>
      <c r="J212" s="81"/>
      <c r="K212" s="81"/>
    </row>
    <row r="213" spans="2:11">
      <c r="B213" s="682" t="s">
        <v>934</v>
      </c>
      <c r="C213" s="704">
        <f>C96+C119+C126+C150+C154+C157+C161+C162+C189</f>
        <v>1193972603.9199996</v>
      </c>
      <c r="D213" s="704">
        <f>D96+D119+D126+D150+D154+D157+D161+D162+D189</f>
        <v>1177448173.6800001</v>
      </c>
      <c r="E213" s="704">
        <f>E96+E119+E126+E150+E154+E157+E161+E162+E189</f>
        <v>1142316731.7799997</v>
      </c>
      <c r="F213" s="704">
        <f>F96+F119+F126+F150+F154+F157+F161+F162+F195</f>
        <v>0</v>
      </c>
      <c r="G213" s="704">
        <f t="shared" ref="G213:K213" si="57">G96+G119+G126+G150+G154+G157+G161+G162+G195</f>
        <v>0</v>
      </c>
      <c r="H213" s="704">
        <f t="shared" si="57"/>
        <v>0</v>
      </c>
      <c r="I213" s="704">
        <f t="shared" si="57"/>
        <v>0</v>
      </c>
      <c r="J213" s="704">
        <f t="shared" si="57"/>
        <v>0</v>
      </c>
      <c r="K213" s="705">
        <f t="shared" si="57"/>
        <v>0</v>
      </c>
    </row>
    <row r="214" spans="2:11">
      <c r="B214" s="694" t="s">
        <v>935</v>
      </c>
      <c r="C214" s="1228">
        <f>C134+C144+C155+C156+C158+C159+C160</f>
        <v>176251921.63</v>
      </c>
      <c r="D214" s="1229">
        <f>D134+D144+D155+D156+D158+D159+D160</f>
        <v>89694031.420000002</v>
      </c>
      <c r="E214" s="1229">
        <f>E134+E144+E155+E156+E158+E159+E160</f>
        <v>99243517.979999989</v>
      </c>
      <c r="F214" s="1229">
        <f>F134+F144+F155+F156+F158+F159+F160</f>
        <v>0</v>
      </c>
      <c r="G214" s="1229">
        <f>G134+G144+G155+G156+G158+G159+G160</f>
        <v>0</v>
      </c>
      <c r="H214" s="1229">
        <f>H134+H144+H155+H156+H158+H159+H160</f>
        <v>0</v>
      </c>
      <c r="I214" s="1229">
        <f>I134+I144+I155+I156+I158+I159+I160</f>
        <v>0</v>
      </c>
      <c r="J214" s="1229">
        <f>J134+J144+J155+J156+J158+J159+J160</f>
        <v>0</v>
      </c>
      <c r="K214" s="696">
        <f>K134+K144+K155+K156+K158+K159+K160</f>
        <v>0</v>
      </c>
    </row>
    <row r="215" spans="2:11" s="691" customFormat="1" ht="10.199999999999999" thickBot="1">
      <c r="B215" s="699" t="s">
        <v>637</v>
      </c>
      <c r="C215" s="700"/>
      <c r="D215" s="700">
        <f>D96+D119+D126+D134+D144+D150+D164-D213-D214+D189</f>
        <v>-2.5890767574310303E-7</v>
      </c>
      <c r="E215" s="700">
        <f>E96+E119+E126+E134+E144+E150+E164-E213-E214+E189</f>
        <v>2.3096799850463867E-7</v>
      </c>
      <c r="F215" s="700">
        <f>F96+F119+F126+F134+F144+F150+F164-F213-F214+F189</f>
        <v>0</v>
      </c>
      <c r="G215" s="700">
        <f>G96+G119+G126+G134+G144+G150+G164-G213-G214+G189</f>
        <v>0</v>
      </c>
      <c r="H215" s="700">
        <f>H96+H119+H126+H134+H144+H150+H164-H213-H214+H189</f>
        <v>0</v>
      </c>
      <c r="I215" s="700">
        <f>I96+I119+I126+I134+I144+I150+I164-I213-I214+I189</f>
        <v>0</v>
      </c>
      <c r="J215" s="700">
        <f>J96+J119+J126+J134+J144+J150+J164-J213-J214+J189</f>
        <v>0</v>
      </c>
      <c r="K215" s="701">
        <f>K96+K119+K126+K134+K144+K150+K164-K213-K214+K189</f>
        <v>0</v>
      </c>
    </row>
    <row r="216" spans="2:11" ht="15" thickBot="1">
      <c r="D216" s="81"/>
      <c r="E216" s="81"/>
      <c r="F216" s="81"/>
      <c r="G216" s="81"/>
      <c r="H216" s="81"/>
      <c r="I216" s="81"/>
      <c r="J216" s="81"/>
      <c r="K216" s="81"/>
    </row>
    <row r="217" spans="2:11">
      <c r="B217" s="682" t="s">
        <v>930</v>
      </c>
      <c r="C217" s="704">
        <f>-(C208-C213)</f>
        <v>977749485.63999963</v>
      </c>
      <c r="D217" s="704">
        <f>-(D208-D213)</f>
        <v>947734388.67000008</v>
      </c>
      <c r="E217" s="704">
        <f t="shared" ref="E217:K217" si="58">-(E208-E213)</f>
        <v>931509806.3099997</v>
      </c>
      <c r="F217" s="704">
        <f t="shared" si="58"/>
        <v>0</v>
      </c>
      <c r="G217" s="704">
        <f t="shared" si="58"/>
        <v>0</v>
      </c>
      <c r="H217" s="704">
        <f t="shared" si="58"/>
        <v>0</v>
      </c>
      <c r="I217" s="704">
        <f t="shared" si="58"/>
        <v>0</v>
      </c>
      <c r="J217" s="704">
        <f t="shared" si="58"/>
        <v>0</v>
      </c>
      <c r="K217" s="705">
        <f t="shared" si="58"/>
        <v>0</v>
      </c>
    </row>
    <row r="218" spans="2:11">
      <c r="B218" s="685" t="s">
        <v>931</v>
      </c>
      <c r="C218" s="514">
        <f>-SUM(C219:C222)</f>
        <v>-1096816528.5900002</v>
      </c>
      <c r="D218" s="514">
        <f>-SUM(D219:D222)</f>
        <v>-1003385794.2099999</v>
      </c>
      <c r="E218" s="514">
        <f>-SUM(E219:E222)</f>
        <v>-928641741.03999996</v>
      </c>
      <c r="F218" s="514">
        <f t="shared" ref="F218:J218" si="59">-SUM(F219:F222)</f>
        <v>0</v>
      </c>
      <c r="G218" s="514">
        <f t="shared" si="59"/>
        <v>0</v>
      </c>
      <c r="H218" s="514">
        <f t="shared" si="59"/>
        <v>0</v>
      </c>
      <c r="I218" s="514">
        <f t="shared" si="59"/>
        <v>0</v>
      </c>
      <c r="J218" s="514">
        <f t="shared" si="59"/>
        <v>0</v>
      </c>
      <c r="K218" s="706">
        <f>-('PiR-popis'!K38+'PiR-popis'!K39+'PiR-popis'!K40+'PiR-popis'!K51)</f>
        <v>0</v>
      </c>
    </row>
    <row r="219" spans="2:11" s="712" customFormat="1" ht="12">
      <c r="B219" s="709" t="str">
        <f>B38</f>
        <v>Prihod iz Proračuna RH za željezničku infrastrukturu</v>
      </c>
      <c r="C219" s="710">
        <f>C38</f>
        <v>531000000</v>
      </c>
      <c r="D219" s="710">
        <f>D38</f>
        <v>475497000</v>
      </c>
      <c r="E219" s="710">
        <f t="shared" ref="E219:K221" si="60">E38</f>
        <v>445000000</v>
      </c>
      <c r="F219" s="710">
        <f t="shared" si="60"/>
        <v>0</v>
      </c>
      <c r="G219" s="710">
        <f t="shared" si="60"/>
        <v>0</v>
      </c>
      <c r="H219" s="710">
        <f t="shared" si="60"/>
        <v>0</v>
      </c>
      <c r="I219" s="710">
        <f t="shared" si="60"/>
        <v>0</v>
      </c>
      <c r="J219" s="710">
        <f t="shared" si="60"/>
        <v>0</v>
      </c>
      <c r="K219" s="711">
        <f t="shared" si="60"/>
        <v>0</v>
      </c>
    </row>
    <row r="220" spans="2:11" s="712" customFormat="1" ht="12">
      <c r="B220" s="709" t="str">
        <f>B39</f>
        <v>Prihod iz Proračuna RH za želj.infrastrukturu - trošarine</v>
      </c>
      <c r="C220" s="710">
        <f>C39</f>
        <v>520000000</v>
      </c>
      <c r="D220" s="710">
        <f>D39</f>
        <v>485044574</v>
      </c>
      <c r="E220" s="710">
        <f t="shared" si="60"/>
        <v>445134400.56</v>
      </c>
      <c r="F220" s="710">
        <f t="shared" si="60"/>
        <v>0</v>
      </c>
      <c r="G220" s="710">
        <f t="shared" si="60"/>
        <v>0</v>
      </c>
      <c r="H220" s="710">
        <f t="shared" si="60"/>
        <v>0</v>
      </c>
      <c r="I220" s="710">
        <f t="shared" si="60"/>
        <v>0</v>
      </c>
      <c r="J220" s="710">
        <f t="shared" si="60"/>
        <v>0</v>
      </c>
      <c r="K220" s="711">
        <f t="shared" si="60"/>
        <v>0</v>
      </c>
    </row>
    <row r="221" spans="2:11" s="712" customFormat="1" ht="12">
      <c r="B221" s="1079" t="str">
        <f>B40</f>
        <v>Prihod iz Proračuna u visini alikvotnog dijela amortizacije</v>
      </c>
      <c r="C221" s="1080">
        <f>C40</f>
        <v>34426076.399999999</v>
      </c>
      <c r="D221" s="710">
        <f>D40</f>
        <v>34426076.399999999</v>
      </c>
      <c r="E221" s="710">
        <f t="shared" si="60"/>
        <v>34426076.399999999</v>
      </c>
      <c r="F221" s="710">
        <f t="shared" si="60"/>
        <v>0</v>
      </c>
      <c r="G221" s="710">
        <f t="shared" si="60"/>
        <v>0</v>
      </c>
      <c r="H221" s="710">
        <f t="shared" si="60"/>
        <v>0</v>
      </c>
      <c r="I221" s="710">
        <f t="shared" si="60"/>
        <v>0</v>
      </c>
      <c r="J221" s="710">
        <f t="shared" si="60"/>
        <v>0</v>
      </c>
      <c r="K221" s="711">
        <f t="shared" si="60"/>
        <v>0</v>
      </c>
    </row>
    <row r="222" spans="2:11" s="712" customFormat="1" ht="12">
      <c r="B222" s="1079" t="str">
        <f>B51</f>
        <v>Prihod od proračuna - otplata zajma IBRD</v>
      </c>
      <c r="C222" s="1081">
        <f>C51</f>
        <v>11390452.189999999</v>
      </c>
      <c r="D222" s="710">
        <f>D51</f>
        <v>8418143.8100000005</v>
      </c>
      <c r="E222" s="710">
        <f>E51</f>
        <v>4081264.08</v>
      </c>
      <c r="F222" s="710">
        <f>F51</f>
        <v>0</v>
      </c>
      <c r="G222" s="710">
        <f>G51</f>
        <v>0</v>
      </c>
      <c r="H222" s="710">
        <f>H51</f>
        <v>0</v>
      </c>
      <c r="I222" s="710">
        <f>I51</f>
        <v>0</v>
      </c>
      <c r="J222" s="710">
        <f>J51</f>
        <v>0</v>
      </c>
      <c r="K222" s="711">
        <f>K51</f>
        <v>0</v>
      </c>
    </row>
    <row r="223" spans="2:11" ht="15" thickBot="1">
      <c r="B223" s="687" t="s">
        <v>932</v>
      </c>
      <c r="C223" s="707">
        <f>C217+C218</f>
        <v>-119067042.95000052</v>
      </c>
      <c r="D223" s="707">
        <f>D217+D218</f>
        <v>-55651405.539999843</v>
      </c>
      <c r="E223" s="707">
        <f t="shared" ref="E223:J223" si="61">E217+E218</f>
        <v>2868065.2699997425</v>
      </c>
      <c r="F223" s="707">
        <f t="shared" si="61"/>
        <v>0</v>
      </c>
      <c r="G223" s="707">
        <f t="shared" si="61"/>
        <v>0</v>
      </c>
      <c r="H223" s="707">
        <f t="shared" si="61"/>
        <v>0</v>
      </c>
      <c r="I223" s="707">
        <f t="shared" si="61"/>
        <v>0</v>
      </c>
      <c r="J223" s="707">
        <f t="shared" si="61"/>
        <v>0</v>
      </c>
      <c r="K223" s="708">
        <f>K217+K218</f>
        <v>0</v>
      </c>
    </row>
    <row r="224" spans="2:11" ht="15" thickBot="1">
      <c r="E224" s="81"/>
    </row>
    <row r="225" spans="2:11">
      <c r="B225" s="718" t="str">
        <f>B198</f>
        <v>Primjereni prinos</v>
      </c>
      <c r="C225" s="719">
        <f>C202</f>
        <v>2400773.4198392699</v>
      </c>
      <c r="D225" s="719">
        <f>D202</f>
        <v>2192934.9038579999</v>
      </c>
      <c r="E225" s="719">
        <f>D202</f>
        <v>2192934.9038579999</v>
      </c>
      <c r="F225" s="719">
        <f t="shared" ref="F225:K225" si="62">F204</f>
        <v>657880.47115739994</v>
      </c>
      <c r="G225" s="719">
        <f t="shared" si="62"/>
        <v>328940.23557869997</v>
      </c>
      <c r="H225" s="719">
        <f t="shared" si="62"/>
        <v>877173.96154320007</v>
      </c>
      <c r="I225" s="719">
        <f t="shared" si="62"/>
        <v>328940.23557869997</v>
      </c>
      <c r="J225" s="719">
        <f t="shared" si="62"/>
        <v>0</v>
      </c>
      <c r="K225" s="720">
        <f t="shared" si="62"/>
        <v>0</v>
      </c>
    </row>
    <row r="226" spans="2:11" ht="15" thickBot="1">
      <c r="B226" s="721" t="s">
        <v>937</v>
      </c>
      <c r="C226" s="1087">
        <f>C223+C225</f>
        <v>-116666269.53016126</v>
      </c>
      <c r="D226" s="697">
        <f>D223+D225</f>
        <v>-53458470.636141844</v>
      </c>
      <c r="E226" s="697">
        <f t="shared" ref="E226:K226" si="63">E223+E225</f>
        <v>5061000.1738577429</v>
      </c>
      <c r="F226" s="697">
        <f t="shared" si="63"/>
        <v>657880.47115739994</v>
      </c>
      <c r="G226" s="697">
        <f t="shared" si="63"/>
        <v>328940.23557869997</v>
      </c>
      <c r="H226" s="697">
        <f t="shared" si="63"/>
        <v>877173.96154320007</v>
      </c>
      <c r="I226" s="697">
        <f t="shared" si="63"/>
        <v>328940.23557869997</v>
      </c>
      <c r="J226" s="697">
        <f t="shared" si="63"/>
        <v>0</v>
      </c>
      <c r="K226" s="698">
        <f t="shared" si="63"/>
        <v>0</v>
      </c>
    </row>
    <row r="230" spans="2:11" ht="15.6">
      <c r="B230" s="1059" t="s">
        <v>993</v>
      </c>
    </row>
    <row r="232" spans="2:11">
      <c r="B232" s="86" t="s">
        <v>828</v>
      </c>
      <c r="C232" s="87">
        <v>531000000</v>
      </c>
      <c r="D232" s="87">
        <v>475497000</v>
      </c>
      <c r="E232" s="643">
        <v>445000000</v>
      </c>
      <c r="F232" s="643"/>
      <c r="G232" s="643"/>
      <c r="H232" s="643"/>
      <c r="I232" s="643"/>
      <c r="J232" s="643"/>
      <c r="K232" s="643">
        <v>0</v>
      </c>
    </row>
    <row r="233" spans="2:11">
      <c r="B233" s="207" t="s">
        <v>829</v>
      </c>
      <c r="C233" s="191">
        <v>520000000</v>
      </c>
      <c r="D233" s="191">
        <v>485044574</v>
      </c>
      <c r="E233" s="644">
        <v>445134400.56</v>
      </c>
      <c r="F233" s="644"/>
      <c r="G233" s="644"/>
      <c r="H233" s="644"/>
      <c r="I233" s="644"/>
      <c r="J233" s="644"/>
      <c r="K233" s="644">
        <v>0</v>
      </c>
    </row>
    <row r="234" spans="2:11" s="77" customFormat="1" ht="17.399999999999999" customHeight="1">
      <c r="C234" s="99">
        <f>SUM(C232:C233)</f>
        <v>1051000000</v>
      </c>
      <c r="D234" s="99">
        <f t="shared" ref="D234:E234" si="64">SUM(D232:D233)</f>
        <v>960541574</v>
      </c>
      <c r="E234" s="99">
        <f t="shared" si="64"/>
        <v>890134400.55999994</v>
      </c>
      <c r="F234" s="1065"/>
      <c r="G234" s="1065"/>
      <c r="H234" s="1065"/>
      <c r="I234" s="1065"/>
      <c r="J234" s="1065"/>
      <c r="K234" s="1065"/>
    </row>
    <row r="235" spans="2:11" s="77" customFormat="1">
      <c r="B235" s="1066" t="s">
        <v>830</v>
      </c>
      <c r="C235" s="1060">
        <v>34426076.399999999</v>
      </c>
      <c r="D235" s="1060">
        <v>34426076.399999999</v>
      </c>
      <c r="E235" s="1061">
        <v>34426076.399999999</v>
      </c>
      <c r="F235" s="1061"/>
      <c r="G235" s="1061"/>
      <c r="H235" s="1061"/>
      <c r="I235" s="1061"/>
      <c r="J235" s="1061"/>
      <c r="K235" s="1061">
        <v>0</v>
      </c>
    </row>
    <row r="236" spans="2:11">
      <c r="B236" s="89" t="s">
        <v>836</v>
      </c>
      <c r="C236" s="90">
        <v>982264.38</v>
      </c>
      <c r="D236" s="90">
        <v>998157.58</v>
      </c>
      <c r="E236" s="650">
        <v>890337.91</v>
      </c>
      <c r="F236" s="650"/>
      <c r="G236" s="650"/>
      <c r="H236" s="650"/>
      <c r="I236" s="650"/>
      <c r="J236" s="650"/>
      <c r="K236" s="650">
        <v>0</v>
      </c>
    </row>
    <row r="237" spans="2:11">
      <c r="B237" s="474" t="s">
        <v>838</v>
      </c>
      <c r="C237" s="475">
        <v>57951594.600000001</v>
      </c>
      <c r="D237" s="475">
        <v>21936480.720000003</v>
      </c>
      <c r="E237" s="652">
        <v>37804536.619999997</v>
      </c>
      <c r="F237" s="652"/>
      <c r="G237" s="652"/>
      <c r="H237" s="652"/>
      <c r="I237" s="652"/>
      <c r="J237" s="652"/>
      <c r="K237" s="652">
        <v>0</v>
      </c>
    </row>
    <row r="238" spans="2:11">
      <c r="B238" s="476" t="s">
        <v>839</v>
      </c>
      <c r="C238" s="199">
        <v>144808187.5</v>
      </c>
      <c r="D238" s="199">
        <v>4223423.05</v>
      </c>
      <c r="E238" s="653">
        <v>42327169.799999997</v>
      </c>
      <c r="F238" s="653"/>
      <c r="G238" s="653"/>
      <c r="H238" s="653"/>
      <c r="I238" s="653"/>
      <c r="J238" s="653"/>
      <c r="K238" s="653">
        <v>0</v>
      </c>
    </row>
    <row r="239" spans="2:11">
      <c r="B239" s="82" t="s">
        <v>841</v>
      </c>
      <c r="C239" s="83">
        <v>11390452.189999999</v>
      </c>
      <c r="D239" s="83">
        <v>8418143.8100000005</v>
      </c>
      <c r="E239" s="479">
        <v>4081264.08</v>
      </c>
      <c r="F239" s="479"/>
      <c r="G239" s="479"/>
      <c r="H239" s="479"/>
      <c r="I239" s="479"/>
      <c r="J239" s="479"/>
      <c r="K239" s="479">
        <v>0</v>
      </c>
    </row>
    <row r="240" spans="2:11">
      <c r="B240" s="480" t="s">
        <v>842</v>
      </c>
      <c r="C240" s="192">
        <v>1369289.65</v>
      </c>
      <c r="D240" s="192">
        <v>40716.910000000003</v>
      </c>
      <c r="E240" s="655">
        <v>1254784.6599999999</v>
      </c>
      <c r="F240" s="655"/>
      <c r="G240" s="655"/>
      <c r="H240" s="655"/>
      <c r="I240" s="655"/>
      <c r="J240" s="655"/>
      <c r="K240" s="655">
        <v>0</v>
      </c>
    </row>
    <row r="241" spans="2:11">
      <c r="B241" s="277" t="s">
        <v>843</v>
      </c>
      <c r="C241" s="204">
        <v>0</v>
      </c>
      <c r="D241" s="204">
        <v>7102067.3499999996</v>
      </c>
      <c r="E241" s="656">
        <v>5534884.5899999999</v>
      </c>
      <c r="F241" s="656"/>
      <c r="G241" s="656"/>
      <c r="H241" s="656"/>
      <c r="I241" s="656"/>
      <c r="J241" s="656"/>
      <c r="K241" s="656">
        <v>0</v>
      </c>
    </row>
    <row r="242" spans="2:11">
      <c r="B242" s="431" t="s">
        <v>836</v>
      </c>
      <c r="C242" s="410">
        <v>172669.96000000002</v>
      </c>
      <c r="D242" s="87">
        <v>561344.51</v>
      </c>
      <c r="E242" s="87">
        <v>836450.17</v>
      </c>
      <c r="F242" s="87"/>
      <c r="G242" s="87"/>
      <c r="H242" s="87"/>
      <c r="I242" s="87"/>
      <c r="J242" s="87"/>
      <c r="K242" s="87">
        <v>0</v>
      </c>
    </row>
    <row r="243" spans="2:11" s="77" customFormat="1" ht="22.8" customHeight="1">
      <c r="B243" s="1075" t="s">
        <v>994</v>
      </c>
      <c r="C243" s="99">
        <f>SUM(C235:C242)</f>
        <v>251100534.68000001</v>
      </c>
      <c r="D243" s="99">
        <f>SUM(D235:D242)</f>
        <v>77706410.329999998</v>
      </c>
      <c r="E243" s="99">
        <f>SUM(E235:E242)</f>
        <v>127155504.22999999</v>
      </c>
    </row>
    <row r="246" spans="2:11" ht="15.6">
      <c r="B246" s="1059" t="s">
        <v>935</v>
      </c>
    </row>
    <row r="247" spans="2:11">
      <c r="B247" s="1076" t="s">
        <v>739</v>
      </c>
      <c r="C247" s="401">
        <v>1481775.89</v>
      </c>
      <c r="D247" s="401">
        <v>74512.41</v>
      </c>
      <c r="E247" s="1067">
        <v>330376.3</v>
      </c>
      <c r="F247" s="1068"/>
      <c r="G247" s="401"/>
      <c r="H247" s="401"/>
      <c r="I247" s="401"/>
      <c r="J247" s="401"/>
      <c r="K247" s="1069">
        <v>0</v>
      </c>
    </row>
    <row r="248" spans="2:11">
      <c r="B248" s="774" t="s">
        <v>740</v>
      </c>
      <c r="C248" s="92">
        <v>1504523.34</v>
      </c>
      <c r="D248" s="92">
        <v>1475445.84</v>
      </c>
      <c r="E248" s="412">
        <v>1059139.27</v>
      </c>
      <c r="F248" s="612"/>
      <c r="G248" s="92"/>
      <c r="H248" s="92"/>
      <c r="I248" s="92"/>
      <c r="J248" s="92"/>
      <c r="K248" s="796">
        <v>0</v>
      </c>
    </row>
    <row r="249" spans="2:11">
      <c r="B249" s="1077" t="s">
        <v>742</v>
      </c>
      <c r="C249" s="87">
        <v>7872401.459999999</v>
      </c>
      <c r="D249" s="87">
        <v>1596684.4599999995</v>
      </c>
      <c r="E249" s="251">
        <v>2287010.5</v>
      </c>
      <c r="F249" s="577"/>
      <c r="G249" s="87"/>
      <c r="H249" s="87"/>
      <c r="I249" s="87"/>
      <c r="J249" s="87"/>
      <c r="K249" s="746">
        <v>0</v>
      </c>
    </row>
    <row r="250" spans="2:11">
      <c r="B250" s="1077" t="s">
        <v>743</v>
      </c>
      <c r="C250" s="87">
        <v>2162924.56</v>
      </c>
      <c r="D250" s="87">
        <v>2385880.31</v>
      </c>
      <c r="E250" s="251">
        <v>1317606.25</v>
      </c>
      <c r="F250" s="577"/>
      <c r="G250" s="87"/>
      <c r="H250" s="87"/>
      <c r="I250" s="87"/>
      <c r="J250" s="87"/>
      <c r="K250" s="746">
        <v>0</v>
      </c>
    </row>
    <row r="251" spans="2:11">
      <c r="B251" s="1078" t="s">
        <v>744</v>
      </c>
      <c r="C251" s="403">
        <v>2743778.31</v>
      </c>
      <c r="D251" s="403">
        <v>2431722.25</v>
      </c>
      <c r="E251" s="1070">
        <v>2743495.6100000003</v>
      </c>
      <c r="F251" s="1071"/>
      <c r="G251" s="403"/>
      <c r="H251" s="403"/>
      <c r="I251" s="403"/>
      <c r="J251" s="403"/>
      <c r="K251" s="1072">
        <v>0</v>
      </c>
    </row>
    <row r="252" spans="2:11">
      <c r="B252" s="754" t="s">
        <v>701</v>
      </c>
      <c r="C252" s="81">
        <f>C134</f>
        <v>86846696.070000008</v>
      </c>
      <c r="D252" s="81">
        <f>D134</f>
        <v>18311288.600000001</v>
      </c>
      <c r="E252" s="81">
        <f>E134</f>
        <v>61275077.869999997</v>
      </c>
    </row>
    <row r="253" spans="2:11">
      <c r="B253" s="754" t="s">
        <v>47</v>
      </c>
      <c r="C253" s="81">
        <f>C144</f>
        <v>73639822</v>
      </c>
      <c r="D253" s="81">
        <f>D144</f>
        <v>63418497.550000004</v>
      </c>
      <c r="E253" s="81">
        <f>E144</f>
        <v>30230812.18</v>
      </c>
    </row>
    <row r="254" spans="2:11" s="1073" customFormat="1" ht="19.2" customHeight="1">
      <c r="B254" s="1075" t="s">
        <v>994</v>
      </c>
      <c r="C254" s="1074">
        <f>SUM(C247:C253)</f>
        <v>176251921.63</v>
      </c>
      <c r="D254" s="1074">
        <f t="shared" ref="D254:E254" si="65">SUM(D247:D253)</f>
        <v>89694031.420000002</v>
      </c>
      <c r="E254" s="1074">
        <f t="shared" si="65"/>
        <v>99243517.979999989</v>
      </c>
    </row>
  </sheetData>
  <mergeCells count="1">
    <mergeCell ref="C196:K19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019E2-8029-4878-B961-6260EC0E5013}">
  <dimension ref="A1:E130"/>
  <sheetViews>
    <sheetView workbookViewId="0"/>
  </sheetViews>
  <sheetFormatPr defaultRowHeight="14.4"/>
  <cols>
    <col min="1" max="1" width="53" customWidth="1"/>
    <col min="2" max="2" width="18.6640625" style="81" customWidth="1"/>
    <col min="3" max="3" width="18.6640625" style="918" customWidth="1"/>
    <col min="4" max="4" width="15.33203125" bestFit="1" customWidth="1"/>
    <col min="5" max="5" width="15" style="481" bestFit="1" customWidth="1"/>
  </cols>
  <sheetData>
    <row r="1" spans="1:5">
      <c r="B1" s="99" t="s">
        <v>99</v>
      </c>
      <c r="D1" s="463" t="s">
        <v>423</v>
      </c>
    </row>
    <row r="2" spans="1:5">
      <c r="A2" s="77"/>
      <c r="B2" s="99" t="s">
        <v>704</v>
      </c>
      <c r="C2" s="939"/>
      <c r="D2" s="463" t="s">
        <v>704</v>
      </c>
      <c r="E2" s="482"/>
    </row>
    <row r="3" spans="1:5">
      <c r="A3" s="462" t="s">
        <v>901</v>
      </c>
      <c r="B3" s="514"/>
      <c r="C3" s="939"/>
    </row>
    <row r="4" spans="1:5">
      <c r="A4" s="211" t="s">
        <v>788</v>
      </c>
      <c r="B4" s="212">
        <v>61966.58</v>
      </c>
      <c r="D4" s="212">
        <v>165391.44</v>
      </c>
    </row>
    <row r="5" spans="1:5">
      <c r="A5" s="211" t="s">
        <v>808</v>
      </c>
      <c r="B5" s="212">
        <v>46125</v>
      </c>
      <c r="C5" s="940">
        <f>B4+B5</f>
        <v>108091.58</v>
      </c>
      <c r="D5" s="212">
        <v>17353</v>
      </c>
      <c r="E5" s="483">
        <f>D4+D5</f>
        <v>182744.44</v>
      </c>
    </row>
    <row r="6" spans="1:5">
      <c r="A6" s="207" t="s">
        <v>789</v>
      </c>
      <c r="B6" s="191">
        <v>88300913.569999993</v>
      </c>
      <c r="C6" s="941">
        <v>88300913.569999993</v>
      </c>
      <c r="D6" s="191">
        <v>86259304.030000001</v>
      </c>
      <c r="E6" s="484">
        <f>D6</f>
        <v>86259304.030000001</v>
      </c>
    </row>
    <row r="7" spans="1:5">
      <c r="A7" s="452" t="s">
        <v>790</v>
      </c>
      <c r="B7" s="399">
        <v>937301.9</v>
      </c>
      <c r="C7" s="942"/>
      <c r="D7" s="206">
        <v>3253755</v>
      </c>
    </row>
    <row r="8" spans="1:5">
      <c r="A8" s="452" t="s">
        <v>791</v>
      </c>
      <c r="B8" s="399">
        <v>24000.03</v>
      </c>
      <c r="C8" s="942">
        <f>B7+B8</f>
        <v>961301.93</v>
      </c>
      <c r="D8" s="206">
        <v>24000</v>
      </c>
      <c r="E8" s="485">
        <f>D7+D8</f>
        <v>3277755</v>
      </c>
    </row>
    <row r="9" spans="1:5">
      <c r="A9" s="277" t="s">
        <v>792</v>
      </c>
      <c r="B9" s="204"/>
      <c r="C9" s="943"/>
      <c r="D9" s="204">
        <v>0</v>
      </c>
      <c r="E9" s="486">
        <f>D9</f>
        <v>0</v>
      </c>
    </row>
    <row r="10" spans="1:5">
      <c r="A10" s="84" t="s">
        <v>793</v>
      </c>
      <c r="B10" s="85">
        <v>67397.789999999994</v>
      </c>
      <c r="C10" s="944"/>
      <c r="D10" s="85">
        <v>201723.3</v>
      </c>
    </row>
    <row r="11" spans="1:5">
      <c r="A11" s="84" t="s">
        <v>796</v>
      </c>
      <c r="B11" s="85">
        <v>349569.57</v>
      </c>
      <c r="C11" s="944">
        <f>B10+B11</f>
        <v>416967.36</v>
      </c>
      <c r="D11" s="85">
        <v>348374.73</v>
      </c>
      <c r="E11" s="489">
        <f>D10+D11</f>
        <v>550098.03</v>
      </c>
    </row>
    <row r="12" spans="1:5">
      <c r="A12" s="453" t="s">
        <v>794</v>
      </c>
      <c r="B12" s="203">
        <v>8994501.9900000002</v>
      </c>
      <c r="C12" s="945">
        <f>B12</f>
        <v>8994501.9900000002</v>
      </c>
      <c r="D12" s="203">
        <v>10843639.689999999</v>
      </c>
      <c r="E12" s="487">
        <f>D12</f>
        <v>10843639.689999999</v>
      </c>
    </row>
    <row r="13" spans="1:5">
      <c r="A13" s="413" t="s">
        <v>795</v>
      </c>
      <c r="B13" s="404">
        <v>1184533.45</v>
      </c>
      <c r="C13" s="946">
        <f>B13</f>
        <v>1184533.45</v>
      </c>
      <c r="D13" s="404">
        <v>1004937.11</v>
      </c>
      <c r="E13" s="488">
        <f>D13</f>
        <v>1004937.11</v>
      </c>
    </row>
    <row r="14" spans="1:5">
      <c r="A14" s="454" t="s">
        <v>797</v>
      </c>
      <c r="B14" s="455">
        <v>6902238.1399999997</v>
      </c>
      <c r="C14" s="947">
        <f>B14</f>
        <v>6902238.1399999997</v>
      </c>
      <c r="D14" s="455">
        <v>6971706.8499999996</v>
      </c>
      <c r="E14" s="490">
        <f>D14</f>
        <v>6971706.8499999996</v>
      </c>
    </row>
    <row r="15" spans="1:5">
      <c r="A15" s="456" t="s">
        <v>798</v>
      </c>
      <c r="B15" s="457">
        <v>897272.76</v>
      </c>
      <c r="C15" s="948">
        <f>B15</f>
        <v>897272.76</v>
      </c>
      <c r="D15" s="457">
        <v>1008813.79</v>
      </c>
      <c r="E15" s="491">
        <f>D15</f>
        <v>1008813.79</v>
      </c>
    </row>
    <row r="16" spans="1:5">
      <c r="A16" s="86" t="s">
        <v>806</v>
      </c>
      <c r="B16" s="87"/>
      <c r="C16" s="949"/>
      <c r="D16" s="87">
        <v>118219.95</v>
      </c>
      <c r="E16" s="509"/>
    </row>
    <row r="17" spans="1:5">
      <c r="A17" s="86" t="s">
        <v>806</v>
      </c>
      <c r="B17" s="87"/>
      <c r="C17" s="949"/>
      <c r="D17" s="87">
        <v>14400</v>
      </c>
      <c r="E17" s="509"/>
    </row>
    <row r="18" spans="1:5">
      <c r="A18" s="86" t="s">
        <v>799</v>
      </c>
      <c r="B18" s="87">
        <f>1260792.29+118946.4</f>
        <v>1379738.69</v>
      </c>
      <c r="C18" s="949"/>
      <c r="D18" s="87">
        <f>1647465.86</f>
        <v>1647465.86</v>
      </c>
    </row>
    <row r="19" spans="1:5">
      <c r="A19" s="86" t="s">
        <v>821</v>
      </c>
      <c r="B19" s="87">
        <v>16500</v>
      </c>
      <c r="C19" s="949"/>
      <c r="D19" s="87"/>
    </row>
    <row r="20" spans="1:5">
      <c r="A20" s="86" t="s">
        <v>800</v>
      </c>
      <c r="B20" s="87">
        <v>2930714.84</v>
      </c>
      <c r="C20" s="949"/>
      <c r="D20" s="87">
        <v>2706651.38</v>
      </c>
    </row>
    <row r="21" spans="1:5">
      <c r="A21" s="86" t="s">
        <v>809</v>
      </c>
      <c r="B21" s="87">
        <v>12439.5</v>
      </c>
      <c r="C21" s="949"/>
      <c r="D21" s="87"/>
    </row>
    <row r="22" spans="1:5">
      <c r="A22" s="86" t="s">
        <v>802</v>
      </c>
      <c r="B22" s="87"/>
      <c r="C22" s="949">
        <f>SUM(B18:B21)</f>
        <v>4339393.0299999993</v>
      </c>
      <c r="D22" s="87">
        <v>0</v>
      </c>
      <c r="E22" s="493">
        <f>D16+D17+D18+D19+D20+D21</f>
        <v>4486737.1899999995</v>
      </c>
    </row>
    <row r="23" spans="1:5">
      <c r="A23" s="458" t="s">
        <v>801</v>
      </c>
      <c r="B23" s="193">
        <v>44621.82</v>
      </c>
      <c r="C23" s="950">
        <v>44621.82</v>
      </c>
      <c r="D23" s="193">
        <v>149463.38</v>
      </c>
      <c r="E23" s="492">
        <f>D23</f>
        <v>149463.38</v>
      </c>
    </row>
    <row r="24" spans="1:5">
      <c r="A24" s="459" t="s">
        <v>803</v>
      </c>
      <c r="B24" s="460"/>
      <c r="C24" s="951"/>
      <c r="D24" s="460">
        <v>0</v>
      </c>
      <c r="E24" s="494">
        <f>D24</f>
        <v>0</v>
      </c>
    </row>
    <row r="25" spans="1:5">
      <c r="A25" s="454" t="s">
        <v>807</v>
      </c>
      <c r="B25" s="455">
        <v>789411.23</v>
      </c>
      <c r="C25" s="947">
        <f>B25</f>
        <v>789411.23</v>
      </c>
      <c r="D25" s="455">
        <v>902314.58</v>
      </c>
      <c r="E25" s="490">
        <f>D25</f>
        <v>902314.58</v>
      </c>
    </row>
    <row r="26" spans="1:5">
      <c r="A26" s="84" t="s">
        <v>809</v>
      </c>
      <c r="B26" s="85"/>
      <c r="C26" s="944"/>
      <c r="D26" s="85">
        <v>12405.6</v>
      </c>
    </row>
    <row r="27" spans="1:5">
      <c r="B27" s="99">
        <f t="shared" ref="B27:E27" si="0">SUM(B4:B25)</f>
        <v>112939246.86</v>
      </c>
      <c r="C27" s="939">
        <f t="shared" si="0"/>
        <v>112939246.86</v>
      </c>
      <c r="D27" s="99">
        <f>SUM(D4:D26)</f>
        <v>115649919.68999998</v>
      </c>
      <c r="E27" s="99">
        <f t="shared" si="0"/>
        <v>115637514.08999999</v>
      </c>
    </row>
    <row r="28" spans="1:5">
      <c r="D28" s="99">
        <f>D27-RDG!C4</f>
        <v>0</v>
      </c>
    </row>
    <row r="30" spans="1:5">
      <c r="A30" s="77" t="s">
        <v>902</v>
      </c>
      <c r="B30" s="99"/>
      <c r="C30" s="939"/>
      <c r="D30" s="78" t="s">
        <v>423</v>
      </c>
      <c r="E30" s="495"/>
    </row>
    <row r="31" spans="1:5">
      <c r="A31" s="207" t="s">
        <v>808</v>
      </c>
      <c r="B31" s="191">
        <f>732167.9-46125</f>
        <v>686042.9</v>
      </c>
      <c r="C31" s="941">
        <f>B31</f>
        <v>686042.9</v>
      </c>
      <c r="D31" s="191">
        <f>354457.99-D5</f>
        <v>337104.99</v>
      </c>
      <c r="E31" s="484">
        <f>D31</f>
        <v>337104.99</v>
      </c>
    </row>
    <row r="32" spans="1:5">
      <c r="A32" s="84" t="s">
        <v>813</v>
      </c>
      <c r="B32" s="85"/>
      <c r="C32" s="944"/>
      <c r="D32" s="85">
        <v>0</v>
      </c>
    </row>
    <row r="33" spans="1:5">
      <c r="A33" s="458" t="s">
        <v>814</v>
      </c>
      <c r="B33" s="193">
        <v>29892488.960000001</v>
      </c>
      <c r="C33" s="950">
        <f>B33</f>
        <v>29892488.960000001</v>
      </c>
      <c r="D33" s="193">
        <v>26698179.25</v>
      </c>
      <c r="E33" s="492">
        <f>D33</f>
        <v>26698179.25</v>
      </c>
    </row>
    <row r="34" spans="1:5">
      <c r="A34" s="466" t="s">
        <v>815</v>
      </c>
      <c r="B34" s="468">
        <v>84000</v>
      </c>
      <c r="C34" s="952">
        <f>B34</f>
        <v>84000</v>
      </c>
      <c r="D34" s="468">
        <v>84000</v>
      </c>
      <c r="E34" s="496">
        <f>D34</f>
        <v>84000</v>
      </c>
    </row>
    <row r="35" spans="1:5">
      <c r="A35" s="84" t="s">
        <v>816</v>
      </c>
      <c r="B35" s="85">
        <v>20063.060000000001</v>
      </c>
      <c r="C35" s="944"/>
      <c r="D35" s="85">
        <v>23109.58</v>
      </c>
    </row>
    <row r="36" spans="1:5">
      <c r="A36" s="413" t="s">
        <v>817</v>
      </c>
      <c r="B36" s="404">
        <v>4321750.24</v>
      </c>
      <c r="C36" s="946">
        <f>B36</f>
        <v>4321750.24</v>
      </c>
      <c r="D36" s="404">
        <v>3510936.82</v>
      </c>
      <c r="E36" s="488">
        <f>D36</f>
        <v>3510936.82</v>
      </c>
    </row>
    <row r="37" spans="1:5">
      <c r="A37" s="86" t="s">
        <v>818</v>
      </c>
      <c r="B37" s="87">
        <v>885353.62</v>
      </c>
      <c r="C37" s="949">
        <f>B37</f>
        <v>885353.62</v>
      </c>
      <c r="D37" s="87">
        <f>1196152.08</f>
        <v>1196152.08</v>
      </c>
      <c r="E37" s="493">
        <f>D37</f>
        <v>1196152.08</v>
      </c>
    </row>
    <row r="38" spans="1:5">
      <c r="A38" s="84" t="s">
        <v>819</v>
      </c>
      <c r="B38" s="85">
        <v>71822.259999999995</v>
      </c>
      <c r="C38" s="944"/>
      <c r="D38" s="85">
        <v>36702.160000000003</v>
      </c>
    </row>
    <row r="39" spans="1:5">
      <c r="A39" s="89" t="s">
        <v>820</v>
      </c>
      <c r="B39" s="90">
        <v>720420.54</v>
      </c>
      <c r="C39" s="953">
        <f>B39</f>
        <v>720420.54</v>
      </c>
      <c r="D39" s="90">
        <v>650200.72</v>
      </c>
      <c r="E39" s="497">
        <f>D39</f>
        <v>650200.72</v>
      </c>
    </row>
    <row r="40" spans="1:5">
      <c r="A40" s="452" t="s">
        <v>806</v>
      </c>
      <c r="B40" s="399">
        <v>6976771.4299999997</v>
      </c>
      <c r="C40" s="942"/>
      <c r="D40" s="399">
        <f>7091435.58-D16-D17</f>
        <v>6958815.6299999999</v>
      </c>
    </row>
    <row r="41" spans="1:5">
      <c r="A41" s="452" t="s">
        <v>821</v>
      </c>
      <c r="B41" s="399">
        <f>7023971.52-135446.38</f>
        <v>6888525.1399999997</v>
      </c>
      <c r="C41" s="942">
        <f>B40+B41</f>
        <v>13865296.57</v>
      </c>
      <c r="D41" s="399">
        <v>10345382.4</v>
      </c>
      <c r="E41" s="498">
        <f>D40+D41</f>
        <v>17304198.030000001</v>
      </c>
    </row>
    <row r="42" spans="1:5">
      <c r="A42" s="467" t="s">
        <v>809</v>
      </c>
      <c r="B42" s="202">
        <v>581062.98</v>
      </c>
      <c r="C42" s="954"/>
      <c r="D42" s="202">
        <f>197254.31-D26</f>
        <v>184848.71</v>
      </c>
    </row>
    <row r="43" spans="1:5">
      <c r="A43" s="467" t="s">
        <v>822</v>
      </c>
      <c r="B43" s="202">
        <v>176680.17</v>
      </c>
      <c r="C43" s="954"/>
      <c r="D43" s="202">
        <v>272824.55</v>
      </c>
    </row>
    <row r="44" spans="1:5">
      <c r="A44" s="84" t="s">
        <v>823</v>
      </c>
      <c r="B44" s="85"/>
      <c r="C44" s="944">
        <f>B44+B38+B32+B35</f>
        <v>91885.319999999992</v>
      </c>
      <c r="D44" s="85">
        <v>0</v>
      </c>
      <c r="E44" s="489">
        <f>D44+D38+D35+D32</f>
        <v>59811.740000000005</v>
      </c>
    </row>
    <row r="45" spans="1:5">
      <c r="A45" s="935" t="s">
        <v>978</v>
      </c>
      <c r="B45" s="934">
        <v>3828916.66</v>
      </c>
      <c r="C45" s="955">
        <f>B45</f>
        <v>3828916.66</v>
      </c>
      <c r="D45" s="935"/>
      <c r="E45" s="935"/>
    </row>
    <row r="46" spans="1:5">
      <c r="A46" s="467" t="s">
        <v>824</v>
      </c>
      <c r="B46" s="202">
        <f>3498251.6-12439.5</f>
        <v>3485812.1</v>
      </c>
      <c r="C46" s="954">
        <f>B42+B43+B46</f>
        <v>4243555.25</v>
      </c>
      <c r="D46" s="202">
        <v>3386410.58</v>
      </c>
      <c r="E46" s="499">
        <f>D42+D43+D46</f>
        <v>3844083.84</v>
      </c>
    </row>
    <row r="47" spans="1:5">
      <c r="A47" s="454" t="s">
        <v>807</v>
      </c>
      <c r="B47" s="455">
        <f>848571.2-789411.23</f>
        <v>59159.969999999972</v>
      </c>
      <c r="C47" s="947">
        <f>B47</f>
        <v>59159.969999999972</v>
      </c>
      <c r="D47" s="455">
        <f>959074.58-D25</f>
        <v>56760</v>
      </c>
      <c r="E47" s="490">
        <f>D47</f>
        <v>56760</v>
      </c>
    </row>
    <row r="48" spans="1:5">
      <c r="A48" s="211" t="s">
        <v>825</v>
      </c>
      <c r="B48" s="212">
        <v>4000</v>
      </c>
      <c r="C48" s="940"/>
      <c r="D48" s="212">
        <v>10000</v>
      </c>
    </row>
    <row r="49" spans="1:5">
      <c r="A49" s="211" t="s">
        <v>826</v>
      </c>
      <c r="B49" s="212">
        <v>6823258.1799999997</v>
      </c>
      <c r="C49" s="940">
        <f>B48+B49</f>
        <v>6827258.1799999997</v>
      </c>
      <c r="D49" s="212">
        <f>10847380.39</f>
        <v>10847380.390000001</v>
      </c>
      <c r="E49" s="483">
        <f>D48+D49</f>
        <v>10857380.390000001</v>
      </c>
    </row>
    <row r="50" spans="1:5">
      <c r="B50" s="99">
        <f>SUM(B31:B49)</f>
        <v>65506128.209999993</v>
      </c>
      <c r="C50" s="939">
        <f>SUM(C31:C49)</f>
        <v>65506128.210000001</v>
      </c>
      <c r="D50" s="99">
        <f>SUM(D31:D49)</f>
        <v>64598807.859999992</v>
      </c>
      <c r="E50" s="500">
        <f>SUM(E31:E49)</f>
        <v>64598807.859999999</v>
      </c>
    </row>
    <row r="51" spans="1:5">
      <c r="A51" s="464" t="s">
        <v>637</v>
      </c>
      <c r="B51" s="465">
        <f>B50-RDG!B5</f>
        <v>0</v>
      </c>
      <c r="C51" s="956"/>
      <c r="D51" s="465"/>
      <c r="E51" s="509">
        <f>E50-RDG!D5</f>
        <v>0</v>
      </c>
    </row>
    <row r="52" spans="1:5">
      <c r="E52" s="509"/>
    </row>
    <row r="53" spans="1:5">
      <c r="A53" s="77" t="s">
        <v>903</v>
      </c>
      <c r="B53" s="99"/>
      <c r="C53" s="939"/>
      <c r="D53" s="78" t="s">
        <v>423</v>
      </c>
    </row>
    <row r="54" spans="1:5">
      <c r="A54" s="84" t="s">
        <v>845</v>
      </c>
      <c r="B54" s="85">
        <v>0</v>
      </c>
      <c r="C54" s="944"/>
      <c r="D54" s="85">
        <v>-51869.78</v>
      </c>
    </row>
    <row r="55" spans="1:5">
      <c r="A55" s="86" t="s">
        <v>846</v>
      </c>
      <c r="B55" s="87">
        <v>531000000</v>
      </c>
      <c r="C55" s="949">
        <f>B55</f>
        <v>531000000</v>
      </c>
      <c r="D55" s="87">
        <v>475497000</v>
      </c>
      <c r="E55" s="493">
        <f>D55</f>
        <v>475497000</v>
      </c>
    </row>
    <row r="56" spans="1:5">
      <c r="A56" s="207" t="s">
        <v>847</v>
      </c>
      <c r="B56" s="191">
        <v>520000000</v>
      </c>
      <c r="C56" s="941"/>
      <c r="D56" s="191">
        <v>485044574</v>
      </c>
    </row>
    <row r="57" spans="1:5">
      <c r="A57" s="207" t="s">
        <v>848</v>
      </c>
      <c r="B57" s="191"/>
      <c r="C57" s="941">
        <f>B56+B57</f>
        <v>520000000</v>
      </c>
      <c r="D57" s="191">
        <v>0</v>
      </c>
      <c r="E57" s="484">
        <f>SUM(D56:D57)</f>
        <v>485044574</v>
      </c>
    </row>
    <row r="58" spans="1:5">
      <c r="A58" s="82" t="s">
        <v>849</v>
      </c>
      <c r="B58" s="83">
        <v>11390452.189999999</v>
      </c>
      <c r="C58" s="957">
        <f>B58</f>
        <v>11390452.189999999</v>
      </c>
      <c r="D58" s="479">
        <v>8418143.8100000005</v>
      </c>
      <c r="E58" s="501">
        <f>D58</f>
        <v>8418143.8100000005</v>
      </c>
    </row>
    <row r="59" spans="1:5">
      <c r="A59" s="452" t="s">
        <v>850</v>
      </c>
      <c r="B59" s="399">
        <v>34426076.399999999</v>
      </c>
      <c r="C59" s="942">
        <f>B59</f>
        <v>34426076.399999999</v>
      </c>
      <c r="D59" s="399">
        <v>34426076.399999999</v>
      </c>
      <c r="E59" s="498">
        <f>D59</f>
        <v>34426076.399999999</v>
      </c>
    </row>
    <row r="60" spans="1:5">
      <c r="A60" s="472" t="s">
        <v>851</v>
      </c>
      <c r="B60" s="473"/>
      <c r="C60" s="958">
        <f>B60</f>
        <v>0</v>
      </c>
      <c r="D60" s="473">
        <v>0</v>
      </c>
      <c r="E60" s="502">
        <f>D60</f>
        <v>0</v>
      </c>
    </row>
    <row r="61" spans="1:5">
      <c r="A61" s="84" t="s">
        <v>852</v>
      </c>
      <c r="B61" s="85">
        <v>0</v>
      </c>
      <c r="C61" s="944"/>
      <c r="D61" s="85">
        <v>1852535.75</v>
      </c>
    </row>
    <row r="62" spans="1:5">
      <c r="A62" s="474" t="s">
        <v>853</v>
      </c>
      <c r="B62" s="475">
        <v>6374110.7400000002</v>
      </c>
      <c r="C62" s="959"/>
      <c r="D62" s="475">
        <v>1082554.06</v>
      </c>
    </row>
    <row r="63" spans="1:5">
      <c r="A63" s="474" t="s">
        <v>854</v>
      </c>
      <c r="B63" s="475">
        <v>17085414.289999999</v>
      </c>
      <c r="C63" s="959"/>
      <c r="D63" s="475">
        <v>3451818.15</v>
      </c>
    </row>
    <row r="64" spans="1:5">
      <c r="A64" s="474" t="s">
        <v>855</v>
      </c>
      <c r="B64" s="475">
        <v>24821713.600000001</v>
      </c>
      <c r="C64" s="959"/>
      <c r="D64" s="475">
        <v>17026353.5</v>
      </c>
    </row>
    <row r="65" spans="1:5">
      <c r="A65" s="474" t="s">
        <v>856</v>
      </c>
      <c r="B65" s="475">
        <v>9670355.9700000007</v>
      </c>
      <c r="C65" s="959">
        <f>B62+B63+B64+B65</f>
        <v>57951594.600000001</v>
      </c>
      <c r="D65" s="475">
        <v>375755.01</v>
      </c>
      <c r="E65" s="503">
        <f>SUM(D62:D65)</f>
        <v>21936480.720000003</v>
      </c>
    </row>
    <row r="66" spans="1:5">
      <c r="A66" s="477" t="s">
        <v>857</v>
      </c>
      <c r="B66" s="478">
        <v>1325036.03</v>
      </c>
      <c r="C66" s="960">
        <f>B66</f>
        <v>1325036.03</v>
      </c>
      <c r="D66" s="478">
        <v>0</v>
      </c>
      <c r="E66" s="504">
        <f>D66</f>
        <v>0</v>
      </c>
    </row>
    <row r="67" spans="1:5">
      <c r="A67" s="471" t="s">
        <v>858</v>
      </c>
      <c r="B67" s="200">
        <v>3539848.08</v>
      </c>
      <c r="C67" s="961">
        <f>B67</f>
        <v>3539848.08</v>
      </c>
      <c r="D67" s="200">
        <v>6598327.6799999997</v>
      </c>
      <c r="E67" s="505">
        <f>D67</f>
        <v>6598327.6799999997</v>
      </c>
    </row>
    <row r="68" spans="1:5">
      <c r="A68" s="89" t="s">
        <v>859</v>
      </c>
      <c r="B68" s="90">
        <f>1007546.86-25282.48</f>
        <v>982264.38</v>
      </c>
      <c r="C68" s="953">
        <f>B68</f>
        <v>982264.38</v>
      </c>
      <c r="D68" s="90">
        <v>998157.58</v>
      </c>
      <c r="E68" s="497">
        <f>D68</f>
        <v>998157.58</v>
      </c>
    </row>
    <row r="69" spans="1:5">
      <c r="A69" s="84" t="s">
        <v>860</v>
      </c>
      <c r="B69" s="85">
        <v>0</v>
      </c>
      <c r="C69" s="944"/>
      <c r="D69" s="85">
        <v>1000</v>
      </c>
    </row>
    <row r="70" spans="1:5">
      <c r="A70" s="84" t="s">
        <v>861</v>
      </c>
      <c r="B70" s="85">
        <v>4152735.05</v>
      </c>
      <c r="C70" s="944"/>
      <c r="D70" s="85">
        <v>0</v>
      </c>
    </row>
    <row r="71" spans="1:5">
      <c r="A71" s="84" t="s">
        <v>862</v>
      </c>
      <c r="B71" s="85"/>
      <c r="C71" s="944"/>
      <c r="D71" s="85">
        <v>0</v>
      </c>
    </row>
    <row r="72" spans="1:5">
      <c r="A72" s="454" t="s">
        <v>863</v>
      </c>
      <c r="B72" s="455">
        <v>1001735.33</v>
      </c>
      <c r="C72" s="947"/>
      <c r="D72" s="455">
        <v>1044871.3</v>
      </c>
    </row>
    <row r="73" spans="1:5">
      <c r="A73" s="454" t="s">
        <v>864</v>
      </c>
      <c r="B73" s="455">
        <v>1253384.2</v>
      </c>
      <c r="C73" s="947">
        <f>B72+B73</f>
        <v>2255119.5299999998</v>
      </c>
      <c r="D73" s="455">
        <v>1323539.94</v>
      </c>
      <c r="E73" s="490">
        <f>SUM(D72:D73)</f>
        <v>2368411.2400000002</v>
      </c>
    </row>
    <row r="74" spans="1:5">
      <c r="A74" s="476" t="s">
        <v>865</v>
      </c>
      <c r="B74" s="199">
        <v>144808187.5</v>
      </c>
      <c r="C74" s="962">
        <f>B74</f>
        <v>144808187.5</v>
      </c>
      <c r="D74" s="199">
        <v>4223423.05</v>
      </c>
      <c r="E74" s="506">
        <f>D74</f>
        <v>4223423.05</v>
      </c>
    </row>
    <row r="75" spans="1:5">
      <c r="A75" s="84" t="s">
        <v>866</v>
      </c>
      <c r="B75" s="85"/>
      <c r="C75" s="944"/>
      <c r="D75" s="85">
        <v>0</v>
      </c>
    </row>
    <row r="76" spans="1:5">
      <c r="A76" s="277" t="s">
        <v>867</v>
      </c>
      <c r="B76" s="204">
        <v>0</v>
      </c>
      <c r="C76" s="943">
        <f>B76</f>
        <v>0</v>
      </c>
      <c r="D76" s="204">
        <v>7102067.3499999996</v>
      </c>
      <c r="E76" s="486">
        <f>D76</f>
        <v>7102067.3499999996</v>
      </c>
    </row>
    <row r="77" spans="1:5">
      <c r="A77" s="84" t="s">
        <v>868</v>
      </c>
      <c r="B77" s="85">
        <v>1920.1</v>
      </c>
      <c r="C77" s="944"/>
      <c r="D77" s="85">
        <v>0.01</v>
      </c>
    </row>
    <row r="78" spans="1:5">
      <c r="A78" s="84" t="s">
        <v>869</v>
      </c>
      <c r="B78" s="85">
        <v>715797.64</v>
      </c>
      <c r="C78" s="944"/>
      <c r="D78" s="85">
        <v>454723.95</v>
      </c>
    </row>
    <row r="79" spans="1:5">
      <c r="A79" s="472" t="s">
        <v>870</v>
      </c>
      <c r="B79" s="473">
        <v>1780062.71</v>
      </c>
      <c r="C79" s="958">
        <f>B79</f>
        <v>1780062.71</v>
      </c>
      <c r="D79" s="473">
        <v>939236.57</v>
      </c>
      <c r="E79" s="502">
        <f>D79</f>
        <v>939236.57</v>
      </c>
    </row>
    <row r="80" spans="1:5">
      <c r="A80" s="84" t="s">
        <v>871</v>
      </c>
      <c r="B80" s="85">
        <v>68997.039999999994</v>
      </c>
      <c r="C80" s="944"/>
      <c r="D80" s="85">
        <v>352565.08</v>
      </c>
    </row>
    <row r="81" spans="1:5">
      <c r="A81" s="84" t="s">
        <v>872</v>
      </c>
      <c r="B81" s="85">
        <v>6966.99</v>
      </c>
      <c r="C81" s="944"/>
      <c r="D81" s="85">
        <v>15849.36</v>
      </c>
    </row>
    <row r="82" spans="1:5">
      <c r="A82" s="84" t="s">
        <v>873</v>
      </c>
      <c r="B82" s="85">
        <v>263468.96999999997</v>
      </c>
      <c r="C82" s="944"/>
      <c r="D82" s="85">
        <v>1623529.03</v>
      </c>
    </row>
    <row r="83" spans="1:5">
      <c r="A83" s="480" t="s">
        <v>874</v>
      </c>
      <c r="B83" s="192">
        <v>1369289.65</v>
      </c>
      <c r="C83" s="963">
        <f>B83</f>
        <v>1369289.65</v>
      </c>
      <c r="D83" s="192">
        <v>40716.910000000003</v>
      </c>
      <c r="E83" s="507">
        <f>D83</f>
        <v>40716.910000000003</v>
      </c>
    </row>
    <row r="84" spans="1:5">
      <c r="A84" s="470" t="s">
        <v>875</v>
      </c>
      <c r="B84" s="201">
        <v>4633092.18</v>
      </c>
      <c r="C84" s="964"/>
      <c r="D84" s="201">
        <v>15940407.140000001</v>
      </c>
    </row>
    <row r="85" spans="1:5">
      <c r="A85" s="470" t="s">
        <v>876</v>
      </c>
      <c r="B85" s="201">
        <v>386228.59</v>
      </c>
      <c r="C85" s="964"/>
      <c r="D85" s="201">
        <v>343619.8</v>
      </c>
    </row>
    <row r="86" spans="1:5">
      <c r="A86" s="470" t="s">
        <v>877</v>
      </c>
      <c r="B86" s="201">
        <v>6442539.1799999997</v>
      </c>
      <c r="C86" s="964">
        <f>B84+B85+B86</f>
        <v>11461859.949999999</v>
      </c>
      <c r="D86" s="201">
        <v>7428562.5099999998</v>
      </c>
      <c r="E86" s="508">
        <f>SUM(D84:D86)</f>
        <v>23712589.450000003</v>
      </c>
    </row>
    <row r="87" spans="1:5">
      <c r="A87" s="84" t="s">
        <v>878</v>
      </c>
      <c r="B87" s="85">
        <v>0</v>
      </c>
      <c r="C87" s="944"/>
      <c r="D87" s="85">
        <v>148480</v>
      </c>
    </row>
    <row r="88" spans="1:5">
      <c r="A88" s="84" t="s">
        <v>879</v>
      </c>
      <c r="B88" s="85">
        <v>0</v>
      </c>
      <c r="C88" s="944"/>
      <c r="D88" s="85">
        <v>28336.31</v>
      </c>
    </row>
    <row r="89" spans="1:5">
      <c r="A89" s="84" t="s">
        <v>880</v>
      </c>
      <c r="B89" s="85">
        <v>2821216.65</v>
      </c>
      <c r="C89" s="944"/>
      <c r="D89" s="85">
        <v>1109796.72</v>
      </c>
    </row>
    <row r="90" spans="1:5">
      <c r="A90" s="84" t="s">
        <v>881</v>
      </c>
      <c r="B90" s="85">
        <v>586.66999999999996</v>
      </c>
      <c r="C90" s="944">
        <f>SUM(B87:B90,B80:B82,B77:B78,B69:B71,B61,B54)</f>
        <v>8031689.1100000003</v>
      </c>
      <c r="D90" s="84">
        <v>325.57</v>
      </c>
      <c r="E90" s="489">
        <f>SUM(D87:D90)+SUM(D80:D82)+SUM(D77:D78)+D75+D54+D61+SUM(D69:D71)</f>
        <v>5535272</v>
      </c>
    </row>
    <row r="91" spans="1:5">
      <c r="B91" s="99">
        <f t="shared" ref="B91:C91" si="1">SUM(B54:B90)</f>
        <v>1330321480.1300004</v>
      </c>
      <c r="C91" s="939">
        <f t="shared" si="1"/>
        <v>1330321480.1300001</v>
      </c>
      <c r="D91" s="99">
        <f>SUM(D54:D90)</f>
        <v>1076840476.7599998</v>
      </c>
      <c r="E91" s="500">
        <f>SUM(E54:E90)</f>
        <v>1076840476.76</v>
      </c>
    </row>
    <row r="92" spans="1:5">
      <c r="B92" s="81">
        <f>B91-RDG!B8</f>
        <v>0</v>
      </c>
      <c r="D92" s="99">
        <f>D91-RDG!C8</f>
        <v>0</v>
      </c>
      <c r="E92" s="500"/>
    </row>
    <row r="93" spans="1:5">
      <c r="A93" s="77" t="s">
        <v>904</v>
      </c>
      <c r="B93" s="99"/>
      <c r="C93" s="939"/>
      <c r="E93" s="509"/>
    </row>
    <row r="94" spans="1:5">
      <c r="A94" s="84" t="s">
        <v>882</v>
      </c>
      <c r="B94" s="85">
        <v>1114.68</v>
      </c>
      <c r="C94" s="944">
        <f>B94</f>
        <v>1114.68</v>
      </c>
      <c r="D94" s="85">
        <v>14450</v>
      </c>
      <c r="E94" s="489">
        <f>D94</f>
        <v>14450</v>
      </c>
    </row>
    <row r="95" spans="1:5">
      <c r="A95" s="467" t="s">
        <v>883</v>
      </c>
      <c r="B95" s="202">
        <v>8347289.4500000002</v>
      </c>
      <c r="C95" s="954">
        <f>B95</f>
        <v>8347289.4500000002</v>
      </c>
      <c r="D95" s="202">
        <v>9617862.3300000001</v>
      </c>
      <c r="E95" s="499">
        <f>D95</f>
        <v>9617862.3300000001</v>
      </c>
    </row>
    <row r="96" spans="1:5">
      <c r="B96" s="99">
        <f t="shared" ref="B96:C96" si="2">B95+B94</f>
        <v>8348404.1299999999</v>
      </c>
      <c r="C96" s="939">
        <f t="shared" si="2"/>
        <v>8348404.1299999999</v>
      </c>
      <c r="D96" s="99">
        <f>D95+D94</f>
        <v>9632312.3300000001</v>
      </c>
      <c r="E96" s="500">
        <f>E95+E94</f>
        <v>9632312.3300000001</v>
      </c>
    </row>
    <row r="97" spans="1:5">
      <c r="C97" s="918">
        <f>C96-RDG!B6</f>
        <v>0</v>
      </c>
      <c r="D97" s="81">
        <f>D96-RDG!C6</f>
        <v>0</v>
      </c>
    </row>
    <row r="98" spans="1:5">
      <c r="A98" s="77" t="s">
        <v>905</v>
      </c>
      <c r="B98" s="99"/>
      <c r="C98" s="939"/>
      <c r="D98" s="78" t="s">
        <v>423</v>
      </c>
    </row>
    <row r="99" spans="1:5">
      <c r="A99" s="84" t="s">
        <v>887</v>
      </c>
      <c r="B99" s="85"/>
      <c r="C99" s="944"/>
      <c r="D99" s="510">
        <v>0</v>
      </c>
    </row>
    <row r="100" spans="1:5">
      <c r="A100" s="86" t="s">
        <v>888</v>
      </c>
      <c r="B100" s="87">
        <f>147387.48+25282.48</f>
        <v>172669.96000000002</v>
      </c>
      <c r="C100" s="949">
        <f>B100</f>
        <v>172669.96000000002</v>
      </c>
      <c r="D100" s="511">
        <v>561344.51</v>
      </c>
      <c r="E100" s="493">
        <f>D100</f>
        <v>561344.51</v>
      </c>
    </row>
    <row r="101" spans="1:5">
      <c r="A101" s="480" t="s">
        <v>889</v>
      </c>
      <c r="B101" s="192">
        <v>346441.53</v>
      </c>
      <c r="C101" s="963">
        <f>B101</f>
        <v>346441.53</v>
      </c>
      <c r="D101" s="512">
        <v>516445</v>
      </c>
      <c r="E101" s="507">
        <f>D101</f>
        <v>516445</v>
      </c>
    </row>
    <row r="102" spans="1:5">
      <c r="A102" s="84" t="s">
        <v>890</v>
      </c>
      <c r="B102" s="85">
        <v>6168.12</v>
      </c>
      <c r="C102" s="944"/>
      <c r="D102" s="510">
        <v>10104.76</v>
      </c>
    </row>
    <row r="103" spans="1:5">
      <c r="A103" s="84" t="s">
        <v>891</v>
      </c>
      <c r="B103" s="85">
        <v>154115.99</v>
      </c>
      <c r="C103" s="944"/>
      <c r="D103" s="510">
        <v>116158.9</v>
      </c>
    </row>
    <row r="104" spans="1:5">
      <c r="A104" s="207" t="s">
        <v>892</v>
      </c>
      <c r="B104" s="191"/>
      <c r="C104" s="941"/>
      <c r="D104" s="513">
        <v>0</v>
      </c>
      <c r="E104" s="484">
        <f>D104</f>
        <v>0</v>
      </c>
    </row>
    <row r="105" spans="1:5">
      <c r="A105" s="84" t="s">
        <v>893</v>
      </c>
      <c r="B105" s="85"/>
      <c r="C105" s="944"/>
      <c r="D105" s="510">
        <v>0</v>
      </c>
    </row>
    <row r="106" spans="1:5">
      <c r="A106" s="84" t="s">
        <v>894</v>
      </c>
      <c r="B106" s="85">
        <v>528998.03</v>
      </c>
      <c r="C106" s="944">
        <f>B106+B103+B102</f>
        <v>689282.14</v>
      </c>
      <c r="D106" s="510">
        <v>36199.53</v>
      </c>
      <c r="E106" s="489">
        <f>D106+D105+D103+D102+D99</f>
        <v>162463.19</v>
      </c>
    </row>
    <row r="107" spans="1:5">
      <c r="B107" s="99">
        <f t="shared" ref="B107:C107" si="3">SUM(B99:B106)</f>
        <v>1208393.6300000001</v>
      </c>
      <c r="C107" s="939">
        <f t="shared" si="3"/>
        <v>1208393.6300000001</v>
      </c>
      <c r="D107" s="99">
        <f>SUM(D99:D106)</f>
        <v>1240252.7</v>
      </c>
      <c r="E107" s="500">
        <f>SUM(E99:E106)</f>
        <v>1240252.7</v>
      </c>
    </row>
    <row r="108" spans="1:5">
      <c r="B108" s="81">
        <f>B107-RDG!B7</f>
        <v>0</v>
      </c>
    </row>
    <row r="109" spans="1:5">
      <c r="A109" s="77" t="s">
        <v>906</v>
      </c>
      <c r="B109" s="99"/>
      <c r="C109" s="939"/>
      <c r="D109" s="78" t="s">
        <v>423</v>
      </c>
    </row>
    <row r="111" spans="1:5">
      <c r="A111" s="77" t="s">
        <v>907</v>
      </c>
      <c r="B111" s="99"/>
      <c r="C111" s="939"/>
    </row>
    <row r="112" spans="1:5">
      <c r="A112" s="86" t="s">
        <v>671</v>
      </c>
      <c r="B112" s="87"/>
      <c r="C112" s="949"/>
      <c r="D112" s="87">
        <v>0</v>
      </c>
    </row>
    <row r="113" spans="1:5">
      <c r="B113" s="99">
        <f t="shared" ref="B113:C113" si="4">+B112</f>
        <v>0</v>
      </c>
      <c r="C113" s="939">
        <f t="shared" si="4"/>
        <v>0</v>
      </c>
      <c r="D113" s="99">
        <f>+D112</f>
        <v>0</v>
      </c>
    </row>
    <row r="114" spans="1:5">
      <c r="A114" s="77" t="s">
        <v>908</v>
      </c>
      <c r="B114" s="99"/>
      <c r="C114" s="939"/>
    </row>
    <row r="115" spans="1:5">
      <c r="A115" s="86" t="s">
        <v>672</v>
      </c>
      <c r="B115" s="87">
        <v>91230212.700000003</v>
      </c>
      <c r="C115" s="949">
        <f>B115</f>
        <v>91230212.700000003</v>
      </c>
      <c r="D115" s="87">
        <v>1042326.28</v>
      </c>
      <c r="E115" s="493">
        <v>1042326.28</v>
      </c>
    </row>
    <row r="116" spans="1:5">
      <c r="B116" s="99">
        <f t="shared" ref="B116:C116" si="5">+B115</f>
        <v>91230212.700000003</v>
      </c>
      <c r="C116" s="939">
        <f t="shared" si="5"/>
        <v>91230212.700000003</v>
      </c>
      <c r="D116" s="99">
        <f>+D115</f>
        <v>1042326.28</v>
      </c>
    </row>
    <row r="117" spans="1:5">
      <c r="A117" s="77" t="s">
        <v>384</v>
      </c>
      <c r="B117" s="99"/>
      <c r="C117" s="939"/>
    </row>
    <row r="118" spans="1:5">
      <c r="A118" s="207" t="s">
        <v>673</v>
      </c>
      <c r="B118" s="191">
        <v>9498.2800000000007</v>
      </c>
      <c r="C118" s="941"/>
      <c r="D118" s="191">
        <v>13552.64</v>
      </c>
    </row>
    <row r="119" spans="1:5">
      <c r="A119" s="207" t="s">
        <v>674</v>
      </c>
      <c r="B119" s="191">
        <v>297579.78999999998</v>
      </c>
      <c r="C119" s="941"/>
      <c r="D119" s="191">
        <v>499238.46</v>
      </c>
    </row>
    <row r="120" spans="1:5">
      <c r="A120" s="207" t="s">
        <v>675</v>
      </c>
      <c r="B120" s="191">
        <v>85531.86</v>
      </c>
      <c r="C120" s="941">
        <f>SUM(B118:B120)</f>
        <v>392609.93</v>
      </c>
      <c r="D120" s="191">
        <v>124016.28</v>
      </c>
      <c r="E120" s="484">
        <f>SUM(D118:D120)</f>
        <v>636807.38</v>
      </c>
    </row>
    <row r="121" spans="1:5">
      <c r="B121" s="99">
        <f t="shared" ref="B121:C121" si="6">SUM(B118:B120)</f>
        <v>392609.93</v>
      </c>
      <c r="C121" s="939">
        <f t="shared" si="6"/>
        <v>392609.93</v>
      </c>
      <c r="D121" s="99">
        <f>SUM(D118:D120)</f>
        <v>636807.38</v>
      </c>
    </row>
    <row r="122" spans="1:5">
      <c r="A122" s="77" t="s">
        <v>909</v>
      </c>
      <c r="B122" s="99"/>
      <c r="C122" s="939"/>
    </row>
    <row r="123" spans="1:5">
      <c r="A123" s="208" t="s">
        <v>676</v>
      </c>
      <c r="B123" s="209">
        <v>219937.5</v>
      </c>
      <c r="C123" s="965"/>
      <c r="D123" s="209">
        <v>420777.66</v>
      </c>
    </row>
    <row r="124" spans="1:5">
      <c r="A124" s="208" t="s">
        <v>677</v>
      </c>
      <c r="B124" s="209">
        <v>388490.39</v>
      </c>
      <c r="C124" s="965"/>
      <c r="D124" s="209">
        <v>278252.5</v>
      </c>
    </row>
    <row r="125" spans="1:5">
      <c r="A125" s="208" t="s">
        <v>678</v>
      </c>
      <c r="B125" s="209">
        <v>9072.09</v>
      </c>
      <c r="C125" s="965"/>
      <c r="D125" s="209">
        <v>259839.3</v>
      </c>
      <c r="E125" s="515">
        <f>SUM(D123:D125)</f>
        <v>958869.46</v>
      </c>
    </row>
    <row r="126" spans="1:5">
      <c r="A126" s="208" t="s">
        <v>977</v>
      </c>
      <c r="B126" s="209">
        <v>0.27</v>
      </c>
      <c r="C126" s="965">
        <f>SUM(B123:B126)</f>
        <v>617500.25</v>
      </c>
      <c r="D126" s="209"/>
      <c r="E126" s="515"/>
    </row>
    <row r="127" spans="1:5">
      <c r="A127" s="210" t="s">
        <v>679</v>
      </c>
      <c r="B127" s="206">
        <v>6032</v>
      </c>
      <c r="C127" s="966">
        <f>B127</f>
        <v>6032</v>
      </c>
      <c r="D127" s="206">
        <v>2691.2</v>
      </c>
      <c r="E127" s="485">
        <f>D127</f>
        <v>2691.2</v>
      </c>
    </row>
    <row r="128" spans="1:5">
      <c r="B128" s="99">
        <f t="shared" ref="B128:C128" si="7">SUM(B123:B127)</f>
        <v>623532.25</v>
      </c>
      <c r="C128" s="939">
        <f t="shared" si="7"/>
        <v>623532.25</v>
      </c>
      <c r="D128" s="99">
        <f>SUM(D123:D127)</f>
        <v>961560.65999999992</v>
      </c>
      <c r="E128" s="500">
        <f>SUM(E125:E127)</f>
        <v>961560.65999999992</v>
      </c>
    </row>
    <row r="129" spans="1:5">
      <c r="A129" s="77"/>
      <c r="B129" s="514">
        <f t="shared" ref="B129:C129" si="8">+B128+B121+B116+B113</f>
        <v>92246354.88000001</v>
      </c>
      <c r="C129" s="939">
        <f t="shared" si="8"/>
        <v>92246354.88000001</v>
      </c>
      <c r="D129" s="514">
        <f>+D128+D121+D116+D113</f>
        <v>2640694.3200000003</v>
      </c>
      <c r="E129" s="500">
        <f>SUM(E112:E127)</f>
        <v>2640694.3200000003</v>
      </c>
    </row>
    <row r="130" spans="1:5" s="926" customFormat="1" ht="14.4" customHeight="1">
      <c r="B130" s="927"/>
      <c r="C130" s="918">
        <f>C129-RDG!B32</f>
        <v>0</v>
      </c>
      <c r="E130" s="927">
        <f>E129-RDG!C32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AB4E-3694-4BF5-BC44-9BF2B96E0C01}">
  <dimension ref="A1:I415"/>
  <sheetViews>
    <sheetView workbookViewId="0"/>
  </sheetViews>
  <sheetFormatPr defaultRowHeight="14.4"/>
  <cols>
    <col min="1" max="1" width="51.33203125" bestFit="1" customWidth="1"/>
    <col min="2" max="3" width="13.5546875" style="81" customWidth="1"/>
    <col min="4" max="4" width="13.6640625" bestFit="1" customWidth="1"/>
    <col min="5" max="5" width="13.21875" style="214" bestFit="1" customWidth="1"/>
    <col min="6" max="6" width="40.109375" customWidth="1"/>
    <col min="8" max="8" width="17.44140625" customWidth="1"/>
    <col min="9" max="9" width="16.109375" customWidth="1"/>
    <col min="10" max="10" width="13.109375" customWidth="1"/>
  </cols>
  <sheetData>
    <row r="1" spans="1:5">
      <c r="D1" s="213" t="s">
        <v>423</v>
      </c>
    </row>
    <row r="2" spans="1:5">
      <c r="A2" s="77" t="s">
        <v>896</v>
      </c>
      <c r="B2" s="99"/>
      <c r="C2" s="99"/>
      <c r="D2" s="213" t="s">
        <v>704</v>
      </c>
      <c r="E2" s="232" t="s">
        <v>705</v>
      </c>
    </row>
    <row r="3" spans="1:5">
      <c r="A3" s="77" t="s">
        <v>425</v>
      </c>
      <c r="B3" s="99"/>
      <c r="C3" s="99"/>
      <c r="E3" s="218"/>
    </row>
    <row r="4" spans="1:5">
      <c r="A4" s="79" t="s">
        <v>426</v>
      </c>
      <c r="B4" s="80">
        <v>43750755.68</v>
      </c>
      <c r="C4" s="216"/>
      <c r="D4" s="80">
        <v>67810729.239999995</v>
      </c>
      <c r="E4" s="216"/>
    </row>
    <row r="5" spans="1:5">
      <c r="A5" s="79" t="s">
        <v>427</v>
      </c>
      <c r="B5" s="80">
        <v>0</v>
      </c>
      <c r="C5" s="216"/>
      <c r="D5" s="80">
        <v>104.4</v>
      </c>
      <c r="E5" s="216"/>
    </row>
    <row r="6" spans="1:5">
      <c r="A6" s="79" t="s">
        <v>429</v>
      </c>
      <c r="B6" s="80">
        <v>17273.740000000002</v>
      </c>
      <c r="C6" s="216"/>
      <c r="D6" s="80">
        <v>20500.669999999998</v>
      </c>
      <c r="E6" s="216"/>
    </row>
    <row r="7" spans="1:5">
      <c r="A7" s="79" t="s">
        <v>431</v>
      </c>
      <c r="B7" s="80">
        <v>2156170.9500000002</v>
      </c>
      <c r="C7" s="216"/>
      <c r="D7" s="80">
        <v>1757265.27</v>
      </c>
      <c r="E7" s="216"/>
    </row>
    <row r="8" spans="1:5">
      <c r="A8" s="79" t="s">
        <v>433</v>
      </c>
      <c r="B8" s="80">
        <v>19191.72</v>
      </c>
      <c r="C8" s="216"/>
      <c r="D8" s="80">
        <v>12179.75</v>
      </c>
      <c r="E8" s="216"/>
    </row>
    <row r="9" spans="1:5">
      <c r="A9" s="79" t="s">
        <v>435</v>
      </c>
      <c r="B9" s="80">
        <v>1400649.77</v>
      </c>
      <c r="C9" s="216"/>
      <c r="D9" s="80">
        <v>1163454.93</v>
      </c>
      <c r="E9" s="216"/>
    </row>
    <row r="10" spans="1:5">
      <c r="A10" s="79" t="s">
        <v>436</v>
      </c>
      <c r="B10" s="80"/>
      <c r="C10" s="216"/>
      <c r="D10" s="80">
        <v>0</v>
      </c>
      <c r="E10" s="216"/>
    </row>
    <row r="11" spans="1:5">
      <c r="A11" s="79" t="s">
        <v>438</v>
      </c>
      <c r="B11" s="80">
        <v>40350.300000000003</v>
      </c>
      <c r="C11" s="216"/>
      <c r="D11" s="80">
        <v>380709.3</v>
      </c>
      <c r="E11" s="216"/>
    </row>
    <row r="12" spans="1:5">
      <c r="A12" s="79" t="s">
        <v>439</v>
      </c>
      <c r="B12" s="80">
        <v>10292.31</v>
      </c>
      <c r="C12" s="216"/>
      <c r="D12" s="80">
        <v>39705.949999999997</v>
      </c>
      <c r="E12" s="216"/>
    </row>
    <row r="13" spans="1:5">
      <c r="A13" s="79" t="s">
        <v>440</v>
      </c>
      <c r="B13" s="80">
        <v>26762.05</v>
      </c>
      <c r="C13" s="219">
        <f>SUM(B4:B13)</f>
        <v>47421446.520000003</v>
      </c>
      <c r="D13" s="80">
        <v>55319.68</v>
      </c>
      <c r="E13" s="219">
        <f>SUM(D4:D13)</f>
        <v>71239969.190000013</v>
      </c>
    </row>
    <row r="14" spans="1:5">
      <c r="A14" s="86" t="s">
        <v>442</v>
      </c>
      <c r="B14" s="87">
        <v>22094986.670000002</v>
      </c>
      <c r="C14" s="216"/>
      <c r="D14" s="87">
        <v>17667662.420000002</v>
      </c>
      <c r="E14" s="216"/>
    </row>
    <row r="15" spans="1:5">
      <c r="A15" s="86" t="s">
        <v>444</v>
      </c>
      <c r="B15" s="87">
        <v>6267821.79</v>
      </c>
      <c r="C15" s="216"/>
      <c r="D15" s="87">
        <v>2642236.2599999998</v>
      </c>
      <c r="E15" s="216"/>
    </row>
    <row r="16" spans="1:5">
      <c r="A16" s="86" t="s">
        <v>445</v>
      </c>
      <c r="B16" s="87">
        <v>1011873.71</v>
      </c>
      <c r="C16" s="216"/>
      <c r="D16" s="87">
        <v>736551.63</v>
      </c>
      <c r="E16" s="216"/>
    </row>
    <row r="17" spans="1:5">
      <c r="A17" s="86" t="s">
        <v>447</v>
      </c>
      <c r="B17" s="87">
        <v>246406.2</v>
      </c>
      <c r="C17" s="216"/>
      <c r="D17" s="87">
        <v>169814.03</v>
      </c>
      <c r="E17" s="216"/>
    </row>
    <row r="18" spans="1:5">
      <c r="A18" s="86" t="s">
        <v>449</v>
      </c>
      <c r="B18" s="87">
        <v>4115393.47</v>
      </c>
      <c r="C18" s="216"/>
      <c r="D18" s="87">
        <v>2627317.77</v>
      </c>
      <c r="E18" s="216"/>
    </row>
    <row r="19" spans="1:5">
      <c r="A19" s="86" t="s">
        <v>451</v>
      </c>
      <c r="B19" s="87">
        <v>154907.21</v>
      </c>
      <c r="C19" s="216"/>
      <c r="D19" s="87">
        <v>250162.89</v>
      </c>
      <c r="E19" s="216"/>
    </row>
    <row r="20" spans="1:5">
      <c r="A20" s="86" t="s">
        <v>453</v>
      </c>
      <c r="B20" s="87">
        <v>910601.33</v>
      </c>
      <c r="C20" s="216"/>
      <c r="D20" s="87">
        <v>320484.51</v>
      </c>
      <c r="E20" s="216"/>
    </row>
    <row r="21" spans="1:5">
      <c r="A21" s="86" t="s">
        <v>455</v>
      </c>
      <c r="B21" s="87">
        <v>1712491.57</v>
      </c>
      <c r="C21" s="216"/>
      <c r="D21" s="87">
        <v>2370638.87</v>
      </c>
      <c r="E21" s="216"/>
    </row>
    <row r="22" spans="1:5">
      <c r="A22" s="86" t="s">
        <v>457</v>
      </c>
      <c r="B22" s="87">
        <v>667007.30000000005</v>
      </c>
      <c r="C22" s="216"/>
      <c r="D22" s="87">
        <v>511706.65</v>
      </c>
      <c r="E22" s="216"/>
    </row>
    <row r="23" spans="1:5">
      <c r="A23" s="86" t="s">
        <v>459</v>
      </c>
      <c r="B23" s="87">
        <v>3410330.71</v>
      </c>
      <c r="C23" s="220">
        <f>C25-C24</f>
        <v>21549093.440000001</v>
      </c>
      <c r="D23" s="87">
        <v>2183416.89</v>
      </c>
      <c r="E23" s="220">
        <f>E25-E24</f>
        <v>7964386.4299999997</v>
      </c>
    </row>
    <row r="24" spans="1:5">
      <c r="A24" s="86" t="s">
        <v>461</v>
      </c>
      <c r="B24" s="87">
        <v>1821093.5</v>
      </c>
      <c r="C24" s="220">
        <f>H84+H87+H90</f>
        <v>20863820.02</v>
      </c>
      <c r="D24" s="87">
        <v>2059623.33</v>
      </c>
      <c r="E24" s="220">
        <f>D84+D87</f>
        <v>23575316.109999999</v>
      </c>
    </row>
    <row r="25" spans="1:5">
      <c r="A25" s="86" t="s">
        <v>462</v>
      </c>
      <c r="B25" s="87">
        <v>0</v>
      </c>
      <c r="C25" s="220">
        <f>SUM(B14:B25)</f>
        <v>42412913.460000001</v>
      </c>
      <c r="D25" s="87">
        <v>87.29</v>
      </c>
      <c r="E25" s="220">
        <f>SUM(D14:D25)</f>
        <v>31539702.539999999</v>
      </c>
    </row>
    <row r="26" spans="1:5">
      <c r="A26" s="82" t="s">
        <v>463</v>
      </c>
      <c r="B26" s="83">
        <v>7347134.1699999999</v>
      </c>
      <c r="C26" s="398">
        <f>B26</f>
        <v>7347134.1699999999</v>
      </c>
      <c r="D26" s="83">
        <v>8104423.9100000001</v>
      </c>
      <c r="E26" s="398">
        <f>D26</f>
        <v>8104423.9100000001</v>
      </c>
    </row>
    <row r="27" spans="1:5">
      <c r="A27" s="84" t="s">
        <v>464</v>
      </c>
      <c r="B27" s="85">
        <v>1044844.77</v>
      </c>
      <c r="C27" s="216"/>
      <c r="D27" s="85">
        <v>652837.41</v>
      </c>
      <c r="E27" s="216"/>
    </row>
    <row r="28" spans="1:5">
      <c r="A28" s="84" t="s">
        <v>465</v>
      </c>
      <c r="B28" s="85">
        <v>82823.77</v>
      </c>
      <c r="C28" s="216"/>
      <c r="D28" s="85">
        <v>61965.52</v>
      </c>
      <c r="E28" s="216"/>
    </row>
    <row r="29" spans="1:5">
      <c r="A29" s="84" t="s">
        <v>466</v>
      </c>
      <c r="B29" s="85">
        <v>3811542.94</v>
      </c>
      <c r="C29" s="218"/>
      <c r="D29" s="85">
        <v>3157004.64</v>
      </c>
      <c r="E29" s="218"/>
    </row>
    <row r="30" spans="1:5">
      <c r="A30" s="84" t="s">
        <v>467</v>
      </c>
      <c r="B30" s="85">
        <v>589369</v>
      </c>
      <c r="C30" s="221">
        <f>SUM(B27:B30)</f>
        <v>5528580.4800000004</v>
      </c>
      <c r="D30" s="85">
        <v>1840094.5</v>
      </c>
      <c r="E30" s="221">
        <f>SUM(D27:D30)</f>
        <v>5711902.0700000003</v>
      </c>
    </row>
    <row r="31" spans="1:5">
      <c r="B31" s="99">
        <f t="shared" ref="B31" si="0">SUM(B4:B30)</f>
        <v>102710074.62999997</v>
      </c>
      <c r="C31" s="984">
        <f>C30+C26+C25+C13</f>
        <v>102710074.63</v>
      </c>
      <c r="D31" s="99">
        <f>SUM(D4:D30)</f>
        <v>116595997.71000002</v>
      </c>
      <c r="E31" s="215">
        <f>SUM(E4:E30)</f>
        <v>148135700.25</v>
      </c>
    </row>
    <row r="32" spans="1:5">
      <c r="B32" s="81">
        <f>B31-RDG!B13</f>
        <v>0</v>
      </c>
      <c r="D32" s="81">
        <f>D31-RDG!C13</f>
        <v>0</v>
      </c>
      <c r="E32" s="218"/>
    </row>
    <row r="33" spans="1:5">
      <c r="A33" s="77" t="s">
        <v>468</v>
      </c>
      <c r="B33" s="99"/>
      <c r="C33" s="99"/>
      <c r="E33" s="218"/>
    </row>
    <row r="34" spans="1:5">
      <c r="A34" t="s">
        <v>469</v>
      </c>
      <c r="B34" s="81">
        <v>6574039.8499999996</v>
      </c>
      <c r="D34" s="81">
        <v>10557871.02</v>
      </c>
    </row>
    <row r="35" spans="1:5">
      <c r="B35" s="99">
        <f t="shared" ref="B35" si="1">+B34</f>
        <v>6574039.8499999996</v>
      </c>
      <c r="C35" s="984">
        <f>B35</f>
        <v>6574039.8499999996</v>
      </c>
      <c r="D35" s="99">
        <f>+D34</f>
        <v>10557871.02</v>
      </c>
      <c r="E35" s="216">
        <f>D35</f>
        <v>10557871.02</v>
      </c>
    </row>
    <row r="36" spans="1:5">
      <c r="E36" s="218"/>
    </row>
    <row r="37" spans="1:5">
      <c r="A37" s="77" t="s">
        <v>470</v>
      </c>
      <c r="B37" s="99"/>
      <c r="C37" s="99"/>
      <c r="E37" s="218"/>
    </row>
    <row r="38" spans="1:5">
      <c r="A38" s="86" t="s">
        <v>471</v>
      </c>
      <c r="B38" s="87">
        <v>401882.44</v>
      </c>
      <c r="C38" s="218"/>
      <c r="D38" s="87">
        <v>521979.67</v>
      </c>
      <c r="E38" s="218"/>
    </row>
    <row r="39" spans="1:5">
      <c r="A39" s="86" t="s">
        <v>472</v>
      </c>
      <c r="B39" s="87">
        <v>1698445.64</v>
      </c>
      <c r="C39" s="218"/>
      <c r="D39" s="87">
        <v>1692165.43</v>
      </c>
      <c r="E39" s="218"/>
    </row>
    <row r="40" spans="1:5">
      <c r="A40" s="86" t="s">
        <v>473</v>
      </c>
      <c r="B40" s="87">
        <v>2096781.63</v>
      </c>
      <c r="C40" s="218"/>
      <c r="D40" s="87">
        <v>1693853.91</v>
      </c>
      <c r="E40" s="218"/>
    </row>
    <row r="41" spans="1:5">
      <c r="A41" s="86" t="s">
        <v>474</v>
      </c>
      <c r="B41" s="87">
        <v>444685.2</v>
      </c>
      <c r="C41" s="218"/>
      <c r="D41" s="87">
        <v>484696.2</v>
      </c>
      <c r="E41" s="218"/>
    </row>
    <row r="42" spans="1:5">
      <c r="A42" s="86" t="s">
        <v>476</v>
      </c>
      <c r="B42" s="87">
        <v>21137.41</v>
      </c>
      <c r="C42" s="220">
        <f>C44-C43</f>
        <v>10267006.100000001</v>
      </c>
      <c r="D42" s="87">
        <v>239826.91</v>
      </c>
      <c r="E42" s="220">
        <f>E44-E43</f>
        <v>12380541.279999999</v>
      </c>
    </row>
    <row r="43" spans="1:5">
      <c r="A43" s="86" t="s">
        <v>475</v>
      </c>
      <c r="B43" s="87">
        <v>1253486.32</v>
      </c>
      <c r="C43" s="220">
        <f>H93+H97+H99</f>
        <v>1328076.4499999997</v>
      </c>
      <c r="D43" s="87">
        <v>2263581.41</v>
      </c>
      <c r="E43" s="220">
        <f>D91+D93</f>
        <v>2345119.7200000002</v>
      </c>
    </row>
    <row r="44" spans="1:5">
      <c r="A44" s="86" t="s">
        <v>634</v>
      </c>
      <c r="B44" s="87">
        <v>5678663.9100000001</v>
      </c>
      <c r="C44" s="220">
        <f>SUM(B38:B44)</f>
        <v>11595082.550000001</v>
      </c>
      <c r="D44" s="87">
        <v>7829557.4699999997</v>
      </c>
      <c r="E44" s="220">
        <f>SUM(D38:D44)</f>
        <v>14725661</v>
      </c>
    </row>
    <row r="45" spans="1:5">
      <c r="A45" s="89" t="s">
        <v>477</v>
      </c>
      <c r="B45" s="90">
        <v>47679720.509999998</v>
      </c>
      <c r="C45" s="218"/>
      <c r="D45" s="90">
        <v>42299143.539999999</v>
      </c>
      <c r="E45" s="218"/>
    </row>
    <row r="46" spans="1:5">
      <c r="A46" s="89" t="s">
        <v>478</v>
      </c>
      <c r="B46" s="90">
        <v>7424730.9100000001</v>
      </c>
      <c r="C46" s="218"/>
      <c r="D46" s="90">
        <v>7431074.4100000001</v>
      </c>
      <c r="E46" s="218"/>
    </row>
    <row r="47" spans="1:5">
      <c r="A47" s="89" t="s">
        <v>479</v>
      </c>
      <c r="B47" s="90">
        <v>616465.29</v>
      </c>
      <c r="C47" s="218"/>
      <c r="D47" s="90">
        <v>567496.98</v>
      </c>
      <c r="E47" s="218"/>
    </row>
    <row r="48" spans="1:5">
      <c r="A48" s="89" t="s">
        <v>480</v>
      </c>
      <c r="B48" s="90">
        <v>89688152.069999993</v>
      </c>
      <c r="C48" s="218"/>
      <c r="D48" s="90">
        <v>129311034.48999999</v>
      </c>
      <c r="E48" s="218"/>
    </row>
    <row r="49" spans="1:5">
      <c r="A49" s="89" t="s">
        <v>481</v>
      </c>
      <c r="B49" s="90"/>
      <c r="C49" s="218"/>
      <c r="D49" s="90">
        <v>0</v>
      </c>
      <c r="E49" s="218"/>
    </row>
    <row r="50" spans="1:5">
      <c r="A50" s="89" t="s">
        <v>482</v>
      </c>
      <c r="B50" s="90">
        <v>353369.42</v>
      </c>
      <c r="C50" s="218"/>
      <c r="D50" s="90">
        <v>240997.39</v>
      </c>
      <c r="E50" s="218"/>
    </row>
    <row r="51" spans="1:5">
      <c r="A51" s="89" t="s">
        <v>483</v>
      </c>
      <c r="B51" s="90"/>
      <c r="C51" s="218"/>
      <c r="D51" s="90">
        <v>0</v>
      </c>
      <c r="E51" s="218"/>
    </row>
    <row r="52" spans="1:5">
      <c r="A52" s="89" t="s">
        <v>484</v>
      </c>
      <c r="B52" s="90">
        <v>466222.52</v>
      </c>
      <c r="C52" s="218"/>
      <c r="D52" s="90">
        <v>309844.38</v>
      </c>
      <c r="E52" s="218"/>
    </row>
    <row r="53" spans="1:5">
      <c r="A53" s="89" t="s">
        <v>485</v>
      </c>
      <c r="B53" s="90">
        <v>329275.15999999997</v>
      </c>
      <c r="C53" s="218"/>
      <c r="D53" s="90">
        <v>362243.43</v>
      </c>
      <c r="E53" s="218"/>
    </row>
    <row r="54" spans="1:5">
      <c r="A54" s="89" t="s">
        <v>486</v>
      </c>
      <c r="B54" s="90">
        <v>95001.41</v>
      </c>
      <c r="C54" s="222">
        <f>C56-C55</f>
        <v>55740623.459999993</v>
      </c>
      <c r="D54" s="90">
        <v>91781.63</v>
      </c>
      <c r="E54" s="222">
        <f>E56-E55</f>
        <v>51937980.059999958</v>
      </c>
    </row>
    <row r="55" spans="1:5">
      <c r="A55" s="89" t="s">
        <v>487</v>
      </c>
      <c r="B55" s="90">
        <v>144315.89000000001</v>
      </c>
      <c r="C55" s="222">
        <f>H104+H110</f>
        <v>92034537.519999996</v>
      </c>
      <c r="D55" s="90">
        <v>147157.45000000001</v>
      </c>
      <c r="E55" s="222">
        <f>D99+D101+D108+D110</f>
        <v>129869102.72000001</v>
      </c>
    </row>
    <row r="56" spans="1:5">
      <c r="A56" s="89" t="s">
        <v>488</v>
      </c>
      <c r="B56" s="90">
        <v>977907.8</v>
      </c>
      <c r="C56" s="222">
        <f>SUM(B45:B56)</f>
        <v>147775160.97999999</v>
      </c>
      <c r="D56" s="90">
        <v>1046309.08</v>
      </c>
      <c r="E56" s="222">
        <f>SUM(D45:D56)</f>
        <v>181807082.77999997</v>
      </c>
    </row>
    <row r="57" spans="1:5">
      <c r="A57" s="91" t="s">
        <v>489</v>
      </c>
      <c r="B57" s="92">
        <v>3143.2</v>
      </c>
      <c r="C57" s="218"/>
      <c r="D57" s="92">
        <v>86591.01</v>
      </c>
      <c r="E57" s="218"/>
    </row>
    <row r="58" spans="1:5">
      <c r="A58" s="91" t="s">
        <v>490</v>
      </c>
      <c r="B58" s="92">
        <v>14530.08</v>
      </c>
      <c r="C58" s="218"/>
      <c r="D58" s="92">
        <v>0</v>
      </c>
      <c r="E58" s="218"/>
    </row>
    <row r="59" spans="1:5">
      <c r="A59" s="91" t="s">
        <v>491</v>
      </c>
      <c r="B59" s="92"/>
      <c r="C59" s="218"/>
      <c r="D59" s="92">
        <v>0</v>
      </c>
      <c r="E59" s="218"/>
    </row>
    <row r="60" spans="1:5">
      <c r="A60" s="91" t="s">
        <v>492</v>
      </c>
      <c r="B60" s="92">
        <v>59940</v>
      </c>
      <c r="C60" s="218"/>
      <c r="D60" s="92">
        <v>286061.53999999998</v>
      </c>
      <c r="E60" s="218"/>
    </row>
    <row r="61" spans="1:5">
      <c r="A61" s="91" t="s">
        <v>493</v>
      </c>
      <c r="B61" s="92">
        <v>413334.18</v>
      </c>
      <c r="C61" s="223">
        <f>C63-C62</f>
        <v>1677485.8199999998</v>
      </c>
      <c r="D61" s="92">
        <v>0</v>
      </c>
      <c r="E61" s="223">
        <f>E63-E62</f>
        <v>1097566.99</v>
      </c>
    </row>
    <row r="62" spans="1:5">
      <c r="A62" s="91" t="s">
        <v>494</v>
      </c>
      <c r="B62" s="92">
        <v>1284024.6299999999</v>
      </c>
      <c r="C62" s="223">
        <f>H112+H114+H116</f>
        <v>102684.70000000001</v>
      </c>
      <c r="D62" s="92">
        <v>728307.19</v>
      </c>
      <c r="E62" s="223">
        <f>D112+D114</f>
        <v>3772.5</v>
      </c>
    </row>
    <row r="63" spans="1:5">
      <c r="A63" s="91" t="s">
        <v>495</v>
      </c>
      <c r="B63" s="92">
        <v>5198.43</v>
      </c>
      <c r="C63" s="223">
        <f>SUM(B57:B63)</f>
        <v>1780170.5199999998</v>
      </c>
      <c r="D63" s="92">
        <v>379.75</v>
      </c>
      <c r="E63" s="223">
        <f>SUM(D57:D63)</f>
        <v>1101339.49</v>
      </c>
    </row>
    <row r="64" spans="1:5">
      <c r="A64" s="84" t="s">
        <v>496</v>
      </c>
      <c r="B64" s="85">
        <v>387230.52</v>
      </c>
      <c r="C64" s="216"/>
      <c r="D64" s="85">
        <v>162465</v>
      </c>
      <c r="E64" s="216"/>
    </row>
    <row r="65" spans="1:8">
      <c r="A65" s="84" t="s">
        <v>497</v>
      </c>
      <c r="B65" s="85"/>
      <c r="C65" s="218"/>
      <c r="D65" s="85">
        <v>0</v>
      </c>
      <c r="E65" s="218"/>
    </row>
    <row r="66" spans="1:8">
      <c r="A66" s="97" t="s">
        <v>498</v>
      </c>
      <c r="B66" s="98">
        <v>2641872.92</v>
      </c>
      <c r="C66" s="214"/>
      <c r="D66" s="98">
        <v>2151560.94</v>
      </c>
    </row>
    <row r="67" spans="1:8">
      <c r="A67" s="97" t="s">
        <v>499</v>
      </c>
      <c r="B67" s="98">
        <v>0</v>
      </c>
      <c r="C67" s="214"/>
      <c r="D67" s="98">
        <v>196.8</v>
      </c>
    </row>
    <row r="68" spans="1:8">
      <c r="A68" s="95" t="s">
        <v>500</v>
      </c>
      <c r="B68" s="96">
        <v>3778064.69</v>
      </c>
      <c r="C68" s="218"/>
      <c r="D68" s="96">
        <v>4712505.24</v>
      </c>
      <c r="E68" s="218"/>
    </row>
    <row r="69" spans="1:8">
      <c r="A69" s="95" t="s">
        <v>501</v>
      </c>
      <c r="B69" s="96">
        <v>0</v>
      </c>
      <c r="C69" s="224">
        <f>B68+B69</f>
        <v>3778064.69</v>
      </c>
      <c r="D69" s="96">
        <v>19335.07</v>
      </c>
      <c r="E69" s="224">
        <f>SUM(D68:D69)</f>
        <v>4731840.3100000005</v>
      </c>
    </row>
    <row r="70" spans="1:8">
      <c r="A70" s="84" t="s">
        <v>502</v>
      </c>
      <c r="B70" s="85">
        <v>212349.66</v>
      </c>
      <c r="C70" s="218"/>
      <c r="D70" s="85">
        <v>219591.79</v>
      </c>
      <c r="E70" s="218"/>
    </row>
    <row r="71" spans="1:8">
      <c r="A71" s="84" t="s">
        <v>503</v>
      </c>
      <c r="B71" s="85">
        <v>0</v>
      </c>
      <c r="C71" s="218"/>
      <c r="D71" s="85">
        <v>11136</v>
      </c>
      <c r="E71" s="218"/>
    </row>
    <row r="72" spans="1:8">
      <c r="A72" s="97" t="s">
        <v>504</v>
      </c>
      <c r="B72" s="98">
        <v>771973.06</v>
      </c>
      <c r="C72" s="218"/>
      <c r="D72" s="98">
        <v>723008.04</v>
      </c>
      <c r="E72" s="218"/>
    </row>
    <row r="73" spans="1:8">
      <c r="A73" s="97" t="s">
        <v>505</v>
      </c>
      <c r="B73" s="98">
        <v>1548005.12</v>
      </c>
      <c r="C73" s="225">
        <f>B73+B72+B67+B66</f>
        <v>4961851.0999999996</v>
      </c>
      <c r="D73" s="98">
        <v>1452807.11</v>
      </c>
      <c r="E73" s="225">
        <f>+D66+D72+D73+D67</f>
        <v>4327572.8899999997</v>
      </c>
    </row>
    <row r="74" spans="1:8">
      <c r="A74" s="93" t="s">
        <v>506</v>
      </c>
      <c r="B74" s="94">
        <v>14103462.49</v>
      </c>
      <c r="C74" s="217"/>
      <c r="D74" s="94">
        <v>0</v>
      </c>
      <c r="E74" s="217">
        <f>D116</f>
        <v>0</v>
      </c>
    </row>
    <row r="75" spans="1:8">
      <c r="A75" s="93" t="s">
        <v>507</v>
      </c>
      <c r="B75" s="94"/>
      <c r="C75" s="217">
        <f>B74+B75</f>
        <v>14103462.49</v>
      </c>
      <c r="D75" s="94">
        <v>14294536.960000001</v>
      </c>
      <c r="E75" s="217">
        <f>D75+D74</f>
        <v>14294536.960000001</v>
      </c>
    </row>
    <row r="76" spans="1:8">
      <c r="A76" s="84" t="s">
        <v>508</v>
      </c>
      <c r="B76" s="85">
        <v>19452.11</v>
      </c>
      <c r="C76" s="226">
        <f>B76+B71+B70+B64</f>
        <v>619032.29</v>
      </c>
      <c r="D76" s="85">
        <v>31190.6</v>
      </c>
      <c r="E76" s="226">
        <f>+D64+D65+D70+D71+D76</f>
        <v>424383.39</v>
      </c>
    </row>
    <row r="77" spans="1:8">
      <c r="B77" s="99">
        <f t="shared" ref="B77" si="2">SUM(B38:B76)</f>
        <v>184612824.62</v>
      </c>
      <c r="C77" s="216">
        <f>C76+C75+C73+C69+C63+C56+C44</f>
        <v>184612824.62</v>
      </c>
      <c r="D77" s="99">
        <f>SUM(D38:D76)</f>
        <v>221412416.81999996</v>
      </c>
      <c r="E77" s="216">
        <f>E76+E75+E73+E69+E63+E56+E44</f>
        <v>221412416.81999996</v>
      </c>
    </row>
    <row r="78" spans="1:8">
      <c r="B78" s="88">
        <f t="shared" ref="B78:C78" si="3">+B77+B35+B31</f>
        <v>293896939.09999996</v>
      </c>
      <c r="C78" s="88">
        <f t="shared" si="3"/>
        <v>293896939.10000002</v>
      </c>
      <c r="D78" s="88">
        <f>+D77+D35+D31</f>
        <v>348566285.55000001</v>
      </c>
      <c r="E78" s="216">
        <f>E77+E35+E31</f>
        <v>380105988.08999997</v>
      </c>
    </row>
    <row r="79" spans="1:8">
      <c r="A79" s="77" t="s">
        <v>706</v>
      </c>
    </row>
    <row r="80" spans="1:8">
      <c r="A80" s="100" t="s">
        <v>442</v>
      </c>
      <c r="B80" s="985">
        <v>1000</v>
      </c>
      <c r="C80" s="967"/>
      <c r="D80" s="250">
        <v>166439.56</v>
      </c>
      <c r="F80" s="100" t="s">
        <v>442</v>
      </c>
      <c r="G80" s="249">
        <v>1000</v>
      </c>
      <c r="H80" s="250">
        <v>124601</v>
      </c>
    </row>
    <row r="81" spans="1:8">
      <c r="A81" s="102" t="s">
        <v>423</v>
      </c>
      <c r="B81" s="986">
        <v>2000</v>
      </c>
      <c r="C81" s="87"/>
      <c r="D81" s="251">
        <v>136699.62</v>
      </c>
      <c r="F81" s="102" t="s">
        <v>99</v>
      </c>
      <c r="G81" s="86">
        <v>2000</v>
      </c>
      <c r="H81" s="251">
        <v>216377.66</v>
      </c>
    </row>
    <row r="82" spans="1:8">
      <c r="A82" s="102"/>
      <c r="B82" s="986">
        <v>400014</v>
      </c>
      <c r="C82" s="87"/>
      <c r="D82" s="251">
        <v>13021480.98</v>
      </c>
      <c r="F82" s="102"/>
      <c r="G82" s="86">
        <v>400014</v>
      </c>
      <c r="H82" s="251">
        <v>9965103.0600000005</v>
      </c>
    </row>
    <row r="83" spans="1:8">
      <c r="A83" s="102"/>
      <c r="B83" s="986">
        <v>400015</v>
      </c>
      <c r="C83" s="87"/>
      <c r="D83" s="251">
        <v>7892434.54</v>
      </c>
      <c r="F83" s="102"/>
      <c r="G83" s="86">
        <v>400015</v>
      </c>
      <c r="H83" s="251">
        <v>7802313.3300000001</v>
      </c>
    </row>
    <row r="84" spans="1:8">
      <c r="A84" s="252"/>
      <c r="B84" s="987"/>
      <c r="C84" s="968"/>
      <c r="D84" s="106">
        <f>SUM(D80:D83)</f>
        <v>21217054.699999999</v>
      </c>
      <c r="F84" s="252"/>
      <c r="G84" s="253"/>
      <c r="H84" s="106">
        <f>SUM(H80:H83)</f>
        <v>18108395.050000001</v>
      </c>
    </row>
    <row r="85" spans="1:8">
      <c r="A85" s="100" t="str">
        <f>+'R'!A19</f>
        <v>4015201    GORIVO ZA VLASTITE AUTOBUSE</v>
      </c>
      <c r="B85" s="985">
        <v>2000</v>
      </c>
      <c r="C85" s="967"/>
      <c r="D85" s="250">
        <v>2266.98</v>
      </c>
      <c r="F85" s="100" t="s">
        <v>444</v>
      </c>
      <c r="G85" s="249">
        <v>2000</v>
      </c>
      <c r="H85" s="250">
        <v>4033</v>
      </c>
    </row>
    <row r="86" spans="1:8">
      <c r="A86" s="102" t="str">
        <f>+A81</f>
        <v>2021.</v>
      </c>
      <c r="B86" s="986">
        <v>400002</v>
      </c>
      <c r="C86" s="87"/>
      <c r="D86" s="251">
        <v>2355994.4300000002</v>
      </c>
      <c r="F86" s="102" t="s">
        <v>99</v>
      </c>
      <c r="G86" s="86">
        <v>400015</v>
      </c>
      <c r="H86" s="287">
        <v>60.83</v>
      </c>
    </row>
    <row r="87" spans="1:8">
      <c r="A87" s="252"/>
      <c r="B87" s="987"/>
      <c r="C87" s="968"/>
      <c r="D87" s="106">
        <f>SUM(D85:D86)</f>
        <v>2358261.41</v>
      </c>
      <c r="F87" s="252"/>
      <c r="G87" s="253"/>
      <c r="H87" s="106">
        <f>SUM(H85:H86)</f>
        <v>4093.83</v>
      </c>
    </row>
    <row r="88" spans="1:8">
      <c r="A88" s="100" t="s">
        <v>475</v>
      </c>
      <c r="B88" s="985">
        <v>1000</v>
      </c>
      <c r="C88" s="967"/>
      <c r="D88" s="250">
        <v>6536.95</v>
      </c>
      <c r="F88" s="100" t="s">
        <v>461</v>
      </c>
      <c r="G88" s="249">
        <v>2000</v>
      </c>
      <c r="H88" s="250">
        <v>7970.02</v>
      </c>
    </row>
    <row r="89" spans="1:8">
      <c r="A89" s="102" t="str">
        <f>+A86</f>
        <v>2021.</v>
      </c>
      <c r="B89" s="986">
        <v>2000</v>
      </c>
      <c r="C89" s="87"/>
      <c r="D89" s="251">
        <v>2164882.79</v>
      </c>
      <c r="F89" s="102" t="s">
        <v>99</v>
      </c>
      <c r="G89" s="86">
        <v>400002</v>
      </c>
      <c r="H89" s="251">
        <v>2743361.12</v>
      </c>
    </row>
    <row r="90" spans="1:8">
      <c r="A90" s="102"/>
      <c r="B90" s="986">
        <v>4050</v>
      </c>
      <c r="C90" s="87"/>
      <c r="D90" s="251">
        <v>135634.62</v>
      </c>
      <c r="F90" s="252"/>
      <c r="G90" s="253"/>
      <c r="H90" s="106">
        <f>SUM(H88:H89)</f>
        <v>2751331.14</v>
      </c>
    </row>
    <row r="91" spans="1:8">
      <c r="A91" s="252"/>
      <c r="B91" s="987"/>
      <c r="C91" s="968"/>
      <c r="D91" s="106">
        <f>+D88+D89+D90</f>
        <v>2307054.3600000003</v>
      </c>
      <c r="F91" s="100" t="s">
        <v>476</v>
      </c>
      <c r="G91" s="249">
        <v>1000</v>
      </c>
      <c r="H91" s="250">
        <v>21730.240000000002</v>
      </c>
    </row>
    <row r="92" spans="1:8">
      <c r="A92" s="100" t="str">
        <f>+'R'!A40</f>
        <v>4103200    MOBILNI TELEFONI</v>
      </c>
      <c r="B92" s="985">
        <f>+B80</f>
        <v>1000</v>
      </c>
      <c r="C92" s="967"/>
      <c r="D92" s="250">
        <v>38065.360000000001</v>
      </c>
      <c r="F92" s="102" t="s">
        <v>99</v>
      </c>
      <c r="G92" s="86">
        <v>2000</v>
      </c>
      <c r="H92" s="251">
        <v>11008.98</v>
      </c>
    </row>
    <row r="93" spans="1:8">
      <c r="A93" s="252" t="str">
        <f>+A89</f>
        <v>2021.</v>
      </c>
      <c r="B93" s="987"/>
      <c r="C93" s="968"/>
      <c r="D93" s="106">
        <f>+D92</f>
        <v>38065.360000000001</v>
      </c>
      <c r="F93" s="252"/>
      <c r="G93" s="253"/>
      <c r="H93" s="106">
        <f>SUM(H91:H92)</f>
        <v>32739.22</v>
      </c>
    </row>
    <row r="94" spans="1:8">
      <c r="A94" s="233" t="s">
        <v>477</v>
      </c>
      <c r="B94" s="988">
        <v>2000</v>
      </c>
      <c r="C94" s="969"/>
      <c r="D94" s="255">
        <v>37653.300000000003</v>
      </c>
      <c r="F94" s="100" t="s">
        <v>475</v>
      </c>
      <c r="G94" s="249">
        <v>1000</v>
      </c>
      <c r="H94" s="250">
        <v>5963.72</v>
      </c>
    </row>
    <row r="95" spans="1:8">
      <c r="A95" s="103" t="str">
        <f>+A93</f>
        <v>2021.</v>
      </c>
      <c r="B95" s="989">
        <v>2020</v>
      </c>
      <c r="C95" s="90"/>
      <c r="D95" s="256">
        <v>3450</v>
      </c>
      <c r="F95" s="102" t="s">
        <v>99</v>
      </c>
      <c r="G95" s="86">
        <v>2000</v>
      </c>
      <c r="H95" s="251">
        <v>1241890.43</v>
      </c>
    </row>
    <row r="96" spans="1:8">
      <c r="A96" s="103"/>
      <c r="B96" s="989">
        <v>3010</v>
      </c>
      <c r="C96" s="90"/>
      <c r="D96" s="256">
        <v>11589.44</v>
      </c>
      <c r="F96" s="102"/>
      <c r="G96" s="86">
        <v>4050</v>
      </c>
      <c r="H96" s="251">
        <v>46676.68</v>
      </c>
    </row>
    <row r="97" spans="1:8">
      <c r="A97" s="103"/>
      <c r="B97" s="989">
        <v>4050</v>
      </c>
      <c r="C97" s="90"/>
      <c r="D97" s="256">
        <v>130284.3</v>
      </c>
      <c r="F97" s="252"/>
      <c r="G97" s="253"/>
      <c r="H97" s="106">
        <f>SUM(H94:H96)</f>
        <v>1294530.8299999998</v>
      </c>
    </row>
    <row r="98" spans="1:8">
      <c r="A98" s="103"/>
      <c r="B98" s="989">
        <v>400015</v>
      </c>
      <c r="C98" s="90"/>
      <c r="D98" s="256">
        <v>30423</v>
      </c>
      <c r="F98" s="100" t="s">
        <v>980</v>
      </c>
      <c r="G98" s="249">
        <v>1000</v>
      </c>
      <c r="H98" s="250">
        <v>806.4</v>
      </c>
    </row>
    <row r="99" spans="1:8">
      <c r="A99" s="257"/>
      <c r="B99" s="990"/>
      <c r="C99" s="970"/>
      <c r="D99" s="259">
        <f>SUM(D94:D98)</f>
        <v>213400.04</v>
      </c>
      <c r="F99" s="252" t="s">
        <v>99</v>
      </c>
      <c r="G99" s="253"/>
      <c r="H99" s="106">
        <f>SUM(H98)</f>
        <v>806.4</v>
      </c>
    </row>
    <row r="100" spans="1:8">
      <c r="A100" s="233" t="s">
        <v>478</v>
      </c>
      <c r="B100" s="988">
        <f>+B94</f>
        <v>2000</v>
      </c>
      <c r="C100" s="969"/>
      <c r="D100" s="255">
        <v>0</v>
      </c>
      <c r="F100" s="233" t="s">
        <v>477</v>
      </c>
      <c r="G100" s="254">
        <v>2000</v>
      </c>
      <c r="H100" s="255">
        <v>13948.1</v>
      </c>
    </row>
    <row r="101" spans="1:8">
      <c r="A101" s="257" t="str">
        <f>+A95</f>
        <v>2021.</v>
      </c>
      <c r="B101" s="990"/>
      <c r="C101" s="970"/>
      <c r="D101" s="259">
        <f>+D100</f>
        <v>0</v>
      </c>
      <c r="F101" s="103" t="s">
        <v>99</v>
      </c>
      <c r="G101" s="89">
        <v>3010</v>
      </c>
      <c r="H101" s="256">
        <v>1007371.32</v>
      </c>
    </row>
    <row r="102" spans="1:8">
      <c r="A102" s="233" t="s">
        <v>480</v>
      </c>
      <c r="B102" s="988">
        <v>1000</v>
      </c>
      <c r="C102" s="969"/>
      <c r="D102" s="255">
        <v>10498.69</v>
      </c>
      <c r="F102" s="103"/>
      <c r="G102" s="89">
        <v>4050</v>
      </c>
      <c r="H102" s="256">
        <v>1348587.57</v>
      </c>
    </row>
    <row r="103" spans="1:8">
      <c r="A103" s="103" t="str">
        <f>+A101</f>
        <v>2021.</v>
      </c>
      <c r="B103" s="989">
        <v>1010</v>
      </c>
      <c r="C103" s="90"/>
      <c r="D103" s="256">
        <v>1563403.09</v>
      </c>
      <c r="F103" s="103"/>
      <c r="G103" s="89">
        <v>400015</v>
      </c>
      <c r="H103" s="996">
        <v>660</v>
      </c>
    </row>
    <row r="104" spans="1:8">
      <c r="A104" s="103"/>
      <c r="B104" s="989">
        <v>2000</v>
      </c>
      <c r="C104" s="90"/>
      <c r="D104" s="256">
        <v>642654.54</v>
      </c>
      <c r="F104" s="257"/>
      <c r="G104" s="258"/>
      <c r="H104" s="259">
        <f>SUM(H100:H103)</f>
        <v>2370566.9900000002</v>
      </c>
    </row>
    <row r="105" spans="1:8">
      <c r="A105" s="103"/>
      <c r="B105" s="989">
        <v>2020</v>
      </c>
      <c r="C105" s="90"/>
      <c r="D105" s="256">
        <v>1893442.76</v>
      </c>
      <c r="F105" s="233" t="s">
        <v>480</v>
      </c>
      <c r="G105" s="254">
        <v>1010</v>
      </c>
      <c r="H105" s="255">
        <v>286690.46000000002</v>
      </c>
    </row>
    <row r="106" spans="1:8">
      <c r="A106" s="103"/>
      <c r="B106" s="989">
        <v>3010</v>
      </c>
      <c r="C106" s="90"/>
      <c r="D106" s="256">
        <v>3781559.26</v>
      </c>
      <c r="F106" s="103" t="s">
        <v>99</v>
      </c>
      <c r="G106" s="89">
        <v>2000</v>
      </c>
      <c r="H106" s="256">
        <v>189780.2</v>
      </c>
    </row>
    <row r="107" spans="1:8">
      <c r="A107" s="103"/>
      <c r="B107" s="989">
        <v>4050</v>
      </c>
      <c r="C107" s="90"/>
      <c r="D107" s="256">
        <v>121764144.34</v>
      </c>
      <c r="F107" s="103"/>
      <c r="G107" s="89">
        <v>2020</v>
      </c>
      <c r="H107" s="256">
        <v>1591485</v>
      </c>
    </row>
    <row r="108" spans="1:8">
      <c r="A108" s="257"/>
      <c r="B108" s="990"/>
      <c r="C108" s="970"/>
      <c r="D108" s="259">
        <f>SUM(D102:D107)</f>
        <v>129655702.68000001</v>
      </c>
      <c r="F108" s="103"/>
      <c r="G108" s="89">
        <v>3010</v>
      </c>
      <c r="H108" s="256">
        <v>1940222.18</v>
      </c>
    </row>
    <row r="109" spans="1:8">
      <c r="A109" s="233" t="s">
        <v>481</v>
      </c>
      <c r="B109" s="988">
        <f>+B105</f>
        <v>2020</v>
      </c>
      <c r="C109" s="969"/>
      <c r="D109" s="255">
        <v>0</v>
      </c>
      <c r="F109" s="103"/>
      <c r="G109" s="89">
        <v>4050</v>
      </c>
      <c r="H109" s="256">
        <v>85655792.689999998</v>
      </c>
    </row>
    <row r="110" spans="1:8">
      <c r="A110" s="257" t="str">
        <f>A112</f>
        <v>2021.</v>
      </c>
      <c r="B110" s="990"/>
      <c r="C110" s="970"/>
      <c r="D110" s="259">
        <f>SUM(D109:D109)</f>
        <v>0</v>
      </c>
      <c r="F110" s="257"/>
      <c r="G110" s="258"/>
      <c r="H110" s="259">
        <f>SUM(H105:H109)</f>
        <v>89663970.530000001</v>
      </c>
    </row>
    <row r="111" spans="1:8">
      <c r="A111" s="234" t="str">
        <f>+'R'!A58</f>
        <v>4141000    POSLOVNI NAJAM OSOBNIH VOZILA</v>
      </c>
      <c r="B111" s="991">
        <v>2000</v>
      </c>
      <c r="C111" s="971"/>
      <c r="D111" s="261">
        <v>3392.75</v>
      </c>
      <c r="F111" s="234" t="s">
        <v>981</v>
      </c>
      <c r="G111" s="260">
        <v>2000</v>
      </c>
      <c r="H111" s="261">
        <v>14530.08</v>
      </c>
    </row>
    <row r="112" spans="1:8">
      <c r="A112" s="262" t="str">
        <f>+A103</f>
        <v>2021.</v>
      </c>
      <c r="B112" s="992"/>
      <c r="C112" s="972"/>
      <c r="D112" s="264">
        <f>+D111</f>
        <v>3392.75</v>
      </c>
      <c r="F112" s="262" t="s">
        <v>99</v>
      </c>
      <c r="G112" s="263"/>
      <c r="H112" s="264">
        <f>SUM(H111)</f>
        <v>14530.08</v>
      </c>
    </row>
    <row r="113" spans="1:8">
      <c r="A113" s="234" t="str">
        <f>+'R'!A59</f>
        <v>4142000    POSLOVNI NAJAM TERETNIH VOZILA</v>
      </c>
      <c r="B113" s="991">
        <f>+B111</f>
        <v>2000</v>
      </c>
      <c r="C113" s="971"/>
      <c r="D113" s="261">
        <v>379.75</v>
      </c>
      <c r="F113" s="234" t="s">
        <v>494</v>
      </c>
      <c r="G113" s="260">
        <v>2000</v>
      </c>
      <c r="H113" s="261">
        <v>82956.19</v>
      </c>
    </row>
    <row r="114" spans="1:8">
      <c r="A114" s="262" t="str">
        <f>+A112</f>
        <v>2021.</v>
      </c>
      <c r="B114" s="992"/>
      <c r="C114" s="972"/>
      <c r="D114" s="264">
        <f>+D113</f>
        <v>379.75</v>
      </c>
      <c r="E114" s="290"/>
      <c r="F114" s="262" t="s">
        <v>99</v>
      </c>
      <c r="G114" s="263"/>
      <c r="H114" s="264">
        <f>SUM(H113)</f>
        <v>82956.19</v>
      </c>
    </row>
    <row r="115" spans="1:8">
      <c r="A115" s="265" t="str">
        <f>+'R'!A71</f>
        <v>4193001    USLUGA DEZINFEKCIJE PROSTORA-COVID 19</v>
      </c>
      <c r="B115" s="993">
        <v>3010</v>
      </c>
      <c r="C115" s="973"/>
      <c r="D115" s="266">
        <v>0</v>
      </c>
      <c r="F115" s="234" t="s">
        <v>495</v>
      </c>
      <c r="G115" s="260">
        <v>2000</v>
      </c>
      <c r="H115" s="261">
        <v>5198.43</v>
      </c>
    </row>
    <row r="116" spans="1:8">
      <c r="A116" s="267" t="str">
        <f>+A114</f>
        <v>2021.</v>
      </c>
      <c r="B116" s="994"/>
      <c r="C116" s="974"/>
      <c r="D116" s="268">
        <f>+D115</f>
        <v>0</v>
      </c>
      <c r="F116" s="262" t="s">
        <v>99</v>
      </c>
      <c r="G116" s="263"/>
      <c r="H116" s="264">
        <f>SUM(H115)</f>
        <v>5198.43</v>
      </c>
    </row>
    <row r="117" spans="1:8">
      <c r="A117" s="235" t="s">
        <v>509</v>
      </c>
      <c r="B117" s="995"/>
      <c r="C117" s="975"/>
      <c r="D117" s="237">
        <f>+D116+D114+D112+D110+D108+D101+D99+D93+D91+D87+D84</f>
        <v>155793311.05000001</v>
      </c>
      <c r="F117" s="235" t="s">
        <v>982</v>
      </c>
      <c r="G117" s="236"/>
      <c r="H117" s="237">
        <f>H116+H114+H110+H104+H99+H97+H93+H90+H87+H84+H112</f>
        <v>114329118.69</v>
      </c>
    </row>
    <row r="119" spans="1:8">
      <c r="A119" s="77" t="s">
        <v>897</v>
      </c>
      <c r="D119" s="190" t="s">
        <v>423</v>
      </c>
      <c r="E119" s="227"/>
    </row>
    <row r="120" spans="1:8">
      <c r="A120" s="191" t="s">
        <v>514</v>
      </c>
      <c r="B120" s="191">
        <v>1404558</v>
      </c>
      <c r="C120" s="216"/>
      <c r="D120" s="191">
        <v>829360</v>
      </c>
      <c r="E120" s="216"/>
    </row>
    <row r="121" spans="1:8">
      <c r="A121" s="191" t="s">
        <v>516</v>
      </c>
      <c r="B121" s="191">
        <v>169857.04</v>
      </c>
      <c r="C121" s="216"/>
      <c r="D121" s="191">
        <v>72750.22</v>
      </c>
      <c r="E121" s="216"/>
    </row>
    <row r="122" spans="1:8">
      <c r="A122" s="191" t="s">
        <v>518</v>
      </c>
      <c r="B122" s="191">
        <v>259660.48</v>
      </c>
      <c r="C122" s="216"/>
      <c r="D122" s="191">
        <v>6737.63</v>
      </c>
      <c r="E122" s="216"/>
    </row>
    <row r="123" spans="1:8">
      <c r="A123" s="191" t="s">
        <v>520</v>
      </c>
      <c r="B123" s="191">
        <v>634260</v>
      </c>
      <c r="C123" s="216"/>
      <c r="D123" s="191">
        <v>423100.47</v>
      </c>
      <c r="E123" s="216"/>
    </row>
    <row r="124" spans="1:8">
      <c r="A124" s="191" t="s">
        <v>522</v>
      </c>
      <c r="B124" s="191">
        <v>26197.53</v>
      </c>
      <c r="C124" s="216"/>
      <c r="D124" s="191">
        <v>15673.85</v>
      </c>
      <c r="E124" s="216"/>
    </row>
    <row r="125" spans="1:8">
      <c r="A125" s="191" t="s">
        <v>524</v>
      </c>
      <c r="B125" s="191">
        <v>522461.12</v>
      </c>
      <c r="C125" s="216"/>
      <c r="D125" s="191">
        <v>453582.08000000002</v>
      </c>
      <c r="E125" s="216"/>
    </row>
    <row r="126" spans="1:8">
      <c r="A126" s="191" t="s">
        <v>526</v>
      </c>
      <c r="B126" s="191">
        <v>335637.99</v>
      </c>
      <c r="C126" s="216"/>
      <c r="D126" s="191">
        <v>250004.8</v>
      </c>
      <c r="E126" s="216"/>
    </row>
    <row r="127" spans="1:8">
      <c r="A127" s="191" t="s">
        <v>528</v>
      </c>
      <c r="B127" s="191">
        <v>7267.56</v>
      </c>
      <c r="C127" s="216"/>
      <c r="D127" s="191">
        <v>8908.08</v>
      </c>
      <c r="E127" s="216"/>
    </row>
    <row r="128" spans="1:8">
      <c r="A128" s="191" t="s">
        <v>530</v>
      </c>
      <c r="B128" s="191">
        <v>75302.720000000001</v>
      </c>
      <c r="C128" s="216">
        <f>C130-C129</f>
        <v>3505151.72</v>
      </c>
      <c r="D128" s="191">
        <v>9890.27</v>
      </c>
      <c r="E128" s="216"/>
    </row>
    <row r="129" spans="1:5">
      <c r="A129" s="191" t="s">
        <v>532</v>
      </c>
      <c r="B129" s="191">
        <v>17295.47</v>
      </c>
      <c r="C129" s="216">
        <f>H323</f>
        <v>335637.99000000005</v>
      </c>
      <c r="D129" s="191">
        <v>1613.07</v>
      </c>
      <c r="E129" s="216"/>
    </row>
    <row r="130" spans="1:5">
      <c r="A130" s="191" t="s">
        <v>534</v>
      </c>
      <c r="B130" s="191">
        <v>388291.8</v>
      </c>
      <c r="C130" s="228">
        <f>SUM(B120:B130)</f>
        <v>3840789.7100000004</v>
      </c>
      <c r="D130" s="191">
        <v>297135</v>
      </c>
      <c r="E130" s="228">
        <f>SUM(D120:D130)</f>
        <v>2368755.4700000002</v>
      </c>
    </row>
    <row r="131" spans="1:5">
      <c r="A131" s="192" t="s">
        <v>536</v>
      </c>
      <c r="B131" s="192">
        <v>25146314.91</v>
      </c>
      <c r="C131" s="216"/>
      <c r="D131" s="192">
        <v>20420620.859999999</v>
      </c>
      <c r="E131" s="216"/>
    </row>
    <row r="132" spans="1:5">
      <c r="A132" s="87" t="s">
        <v>538</v>
      </c>
      <c r="B132" s="87">
        <v>1975293.43</v>
      </c>
      <c r="C132" s="220">
        <f>B132</f>
        <v>1975293.43</v>
      </c>
      <c r="D132" s="87">
        <v>2422799.7599999998</v>
      </c>
      <c r="E132" s="220">
        <f>D132</f>
        <v>2422799.7599999998</v>
      </c>
    </row>
    <row r="133" spans="1:5">
      <c r="A133" s="192" t="s">
        <v>983</v>
      </c>
      <c r="B133" s="192">
        <v>812150</v>
      </c>
      <c r="C133" s="216"/>
      <c r="D133" s="192"/>
      <c r="E133" s="216"/>
    </row>
    <row r="134" spans="1:5">
      <c r="A134" s="193" t="s">
        <v>540</v>
      </c>
      <c r="B134" s="193">
        <v>146735</v>
      </c>
      <c r="C134" s="216"/>
      <c r="D134" s="193">
        <v>63925.65</v>
      </c>
      <c r="E134" s="216"/>
    </row>
    <row r="135" spans="1:5">
      <c r="A135" s="193" t="s">
        <v>542</v>
      </c>
      <c r="B135" s="193"/>
      <c r="C135" s="248">
        <f>B134+B135</f>
        <v>146735</v>
      </c>
      <c r="D135" s="193">
        <v>0</v>
      </c>
      <c r="E135" s="248">
        <f>D135+D134</f>
        <v>63925.65</v>
      </c>
    </row>
    <row r="136" spans="1:5">
      <c r="A136" s="192" t="s">
        <v>544</v>
      </c>
      <c r="B136" s="192">
        <v>24418.69</v>
      </c>
      <c r="C136" s="216"/>
      <c r="D136" s="192">
        <v>21067.759999999998</v>
      </c>
      <c r="E136" s="216"/>
    </row>
    <row r="137" spans="1:5">
      <c r="A137" s="192" t="s">
        <v>546</v>
      </c>
      <c r="B137" s="192">
        <v>33729.410000000003</v>
      </c>
      <c r="C137" s="216"/>
      <c r="D137" s="192">
        <v>19754.64</v>
      </c>
      <c r="E137" s="216"/>
    </row>
    <row r="138" spans="1:5">
      <c r="A138" s="192" t="s">
        <v>547</v>
      </c>
      <c r="B138" s="192">
        <v>0</v>
      </c>
      <c r="C138" s="216"/>
      <c r="D138" s="192">
        <v>17629.169999999998</v>
      </c>
      <c r="E138" s="216"/>
    </row>
    <row r="139" spans="1:5">
      <c r="A139" s="192" t="s">
        <v>548</v>
      </c>
      <c r="B139" s="192">
        <v>1954917.23</v>
      </c>
      <c r="C139" s="216"/>
      <c r="D139" s="192">
        <v>1928411.3</v>
      </c>
      <c r="E139" s="216"/>
    </row>
    <row r="140" spans="1:5">
      <c r="A140" s="192" t="s">
        <v>550</v>
      </c>
      <c r="B140" s="192">
        <v>14419382.5</v>
      </c>
      <c r="C140" s="216"/>
      <c r="D140" s="192">
        <v>14250727.5</v>
      </c>
      <c r="E140" s="216"/>
    </row>
    <row r="141" spans="1:5">
      <c r="A141" s="192" t="s">
        <v>551</v>
      </c>
      <c r="B141" s="192">
        <v>24122627</v>
      </c>
      <c r="C141" s="216"/>
      <c r="D141" s="192">
        <v>21849183.199999999</v>
      </c>
      <c r="E141" s="216"/>
    </row>
    <row r="142" spans="1:5">
      <c r="A142" s="192" t="s">
        <v>984</v>
      </c>
      <c r="B142" s="192">
        <v>11136828.5</v>
      </c>
      <c r="C142" s="216"/>
      <c r="D142" s="192"/>
      <c r="E142" s="216"/>
    </row>
    <row r="143" spans="1:5">
      <c r="A143" s="192" t="s">
        <v>552</v>
      </c>
      <c r="B143" s="192">
        <v>3415475</v>
      </c>
      <c r="C143" s="216"/>
      <c r="D143" s="192">
        <v>1204198.76</v>
      </c>
      <c r="E143" s="216"/>
    </row>
    <row r="144" spans="1:5">
      <c r="A144" s="192" t="s">
        <v>553</v>
      </c>
      <c r="B144" s="192">
        <v>8840000</v>
      </c>
      <c r="C144" s="216"/>
      <c r="D144" s="192">
        <v>11050000</v>
      </c>
      <c r="E144" s="216"/>
    </row>
    <row r="145" spans="1:5">
      <c r="A145" s="192" t="s">
        <v>554</v>
      </c>
      <c r="B145" s="192">
        <v>3260000</v>
      </c>
      <c r="C145" s="216"/>
      <c r="D145" s="192">
        <v>3470500</v>
      </c>
      <c r="E145" s="216"/>
    </row>
    <row r="146" spans="1:5">
      <c r="A146" s="192" t="s">
        <v>555</v>
      </c>
      <c r="B146" s="192">
        <v>2150425</v>
      </c>
      <c r="C146" s="216"/>
      <c r="D146" s="192">
        <v>1229655</v>
      </c>
      <c r="E146" s="216"/>
    </row>
    <row r="147" spans="1:5">
      <c r="A147" s="192" t="s">
        <v>556</v>
      </c>
      <c r="B147" s="192">
        <v>672000</v>
      </c>
      <c r="C147" s="216"/>
      <c r="D147" s="192">
        <v>674500</v>
      </c>
      <c r="E147" s="216"/>
    </row>
    <row r="148" spans="1:5">
      <c r="A148" s="192" t="s">
        <v>557</v>
      </c>
      <c r="B148" s="192">
        <v>190909.21</v>
      </c>
      <c r="C148" s="216"/>
      <c r="D148" s="192">
        <v>165000</v>
      </c>
      <c r="E148" s="216"/>
    </row>
    <row r="149" spans="1:5">
      <c r="A149" s="192" t="s">
        <v>558</v>
      </c>
      <c r="B149" s="192">
        <v>795000</v>
      </c>
      <c r="C149" s="216"/>
      <c r="D149" s="192">
        <v>660000</v>
      </c>
      <c r="E149" s="216"/>
    </row>
    <row r="150" spans="1:5">
      <c r="A150" s="192" t="s">
        <v>559</v>
      </c>
      <c r="B150" s="192"/>
      <c r="C150" s="229">
        <f>SUM(B131,B133,B136:B150,B194)</f>
        <v>97484177.450000003</v>
      </c>
      <c r="D150" s="192">
        <v>0</v>
      </c>
      <c r="E150" s="229">
        <f>SUM(D136:D150)+D131</f>
        <v>76961248.189999998</v>
      </c>
    </row>
    <row r="151" spans="1:5">
      <c r="A151" s="194" t="s">
        <v>560</v>
      </c>
      <c r="B151" s="194">
        <v>94779.98</v>
      </c>
      <c r="C151" s="238">
        <f>B151</f>
        <v>94779.98</v>
      </c>
      <c r="D151" s="194">
        <v>69547.03</v>
      </c>
      <c r="E151" s="238">
        <f>D151</f>
        <v>69547.03</v>
      </c>
    </row>
    <row r="152" spans="1:5">
      <c r="A152" s="195" t="s">
        <v>561</v>
      </c>
      <c r="B152" s="195">
        <v>0</v>
      </c>
      <c r="C152" s="239">
        <f>B152</f>
        <v>0</v>
      </c>
      <c r="D152" s="195">
        <v>34131.949999999997</v>
      </c>
      <c r="E152" s="239">
        <f>D152</f>
        <v>34131.949999999997</v>
      </c>
    </row>
    <row r="153" spans="1:5">
      <c r="A153" s="196" t="s">
        <v>562</v>
      </c>
      <c r="B153" s="196">
        <v>674691.69</v>
      </c>
      <c r="C153" s="240">
        <f>B153</f>
        <v>674691.69</v>
      </c>
      <c r="D153" s="196">
        <v>760389.7</v>
      </c>
      <c r="E153" s="240">
        <f>D153</f>
        <v>760389.7</v>
      </c>
    </row>
    <row r="154" spans="1:5">
      <c r="A154" s="197" t="s">
        <v>563</v>
      </c>
      <c r="B154" s="197">
        <v>236074.29</v>
      </c>
      <c r="C154" s="241">
        <f t="shared" ref="C154:C155" si="4">B154</f>
        <v>236074.29</v>
      </c>
      <c r="D154" s="197">
        <v>267354.84000000003</v>
      </c>
      <c r="E154" s="241">
        <f>D154</f>
        <v>267354.84000000003</v>
      </c>
    </row>
    <row r="155" spans="1:5">
      <c r="A155" s="198" t="s">
        <v>564</v>
      </c>
      <c r="B155" s="198">
        <v>617070</v>
      </c>
      <c r="C155" s="242">
        <f t="shared" si="4"/>
        <v>617070</v>
      </c>
      <c r="D155" s="198">
        <v>522850</v>
      </c>
      <c r="E155" s="242">
        <f>D155</f>
        <v>522850</v>
      </c>
    </row>
    <row r="156" spans="1:5">
      <c r="A156" s="199" t="s">
        <v>565</v>
      </c>
      <c r="B156" s="199">
        <v>870754.86</v>
      </c>
      <c r="C156" s="214"/>
      <c r="D156" s="199">
        <v>945201.68</v>
      </c>
    </row>
    <row r="157" spans="1:5">
      <c r="A157" s="199" t="s">
        <v>566</v>
      </c>
      <c r="B157" s="199">
        <v>480284.68</v>
      </c>
      <c r="C157" s="216"/>
      <c r="D157" s="199">
        <v>597901.61</v>
      </c>
      <c r="E157" s="216"/>
    </row>
    <row r="158" spans="1:5">
      <c r="A158" s="199" t="s">
        <v>567</v>
      </c>
      <c r="B158" s="199">
        <v>104650</v>
      </c>
      <c r="C158" s="243">
        <f>SUM(B156:B158)</f>
        <v>1455689.54</v>
      </c>
      <c r="D158" s="199">
        <v>99050</v>
      </c>
      <c r="E158" s="243">
        <f>SUM(D156:D158)</f>
        <v>1642153.29</v>
      </c>
    </row>
    <row r="159" spans="1:5">
      <c r="A159" s="200" t="s">
        <v>568</v>
      </c>
      <c r="B159" s="200">
        <v>164765.51999999999</v>
      </c>
      <c r="C159" s="216"/>
      <c r="D159" s="200">
        <v>100555.6</v>
      </c>
      <c r="E159" s="216"/>
    </row>
    <row r="160" spans="1:5">
      <c r="A160" s="200" t="s">
        <v>569</v>
      </c>
      <c r="B160" s="200">
        <v>6850</v>
      </c>
      <c r="C160" s="216"/>
      <c r="D160" s="200">
        <v>23005</v>
      </c>
      <c r="E160" s="216"/>
    </row>
    <row r="161" spans="1:5">
      <c r="A161" s="200" t="s">
        <v>570</v>
      </c>
      <c r="B161" s="200">
        <v>276779.57</v>
      </c>
      <c r="C161" s="216"/>
      <c r="D161" s="200">
        <v>603336.34</v>
      </c>
      <c r="E161" s="216"/>
    </row>
    <row r="162" spans="1:5">
      <c r="A162" s="200" t="s">
        <v>571</v>
      </c>
      <c r="B162" s="200">
        <v>47071.91</v>
      </c>
      <c r="C162" s="244">
        <f>SUM(B159:B162)</f>
        <v>495467</v>
      </c>
      <c r="D162" s="200">
        <v>43259.44</v>
      </c>
      <c r="E162" s="244">
        <f>SUM(D159:D162)</f>
        <v>770156.37999999989</v>
      </c>
    </row>
    <row r="163" spans="1:5">
      <c r="A163" s="201" t="s">
        <v>572</v>
      </c>
      <c r="B163" s="201">
        <v>0</v>
      </c>
      <c r="C163" s="214"/>
      <c r="D163" s="201">
        <v>55843.5</v>
      </c>
    </row>
    <row r="164" spans="1:5">
      <c r="A164" s="201" t="s">
        <v>573</v>
      </c>
      <c r="B164" s="201">
        <v>13606.41</v>
      </c>
      <c r="C164" s="216"/>
      <c r="D164" s="201">
        <v>6672.64</v>
      </c>
      <c r="E164" s="216"/>
    </row>
    <row r="165" spans="1:5">
      <c r="A165" s="201" t="s">
        <v>574</v>
      </c>
      <c r="B165" s="201">
        <v>81605.210000000006</v>
      </c>
      <c r="C165" s="245">
        <f>SUM(B163:B165)</f>
        <v>95211.62000000001</v>
      </c>
      <c r="D165" s="201">
        <v>67557.87</v>
      </c>
      <c r="E165" s="245">
        <f>SUM(D163:D165)</f>
        <v>130074.01</v>
      </c>
    </row>
    <row r="166" spans="1:5">
      <c r="A166" s="202" t="s">
        <v>575</v>
      </c>
      <c r="B166" s="202">
        <v>4231978.09</v>
      </c>
      <c r="C166" s="246">
        <f>B166</f>
        <v>4231978.09</v>
      </c>
      <c r="D166" s="202">
        <v>4950991.12</v>
      </c>
      <c r="E166" s="246">
        <f>D166</f>
        <v>4950991.12</v>
      </c>
    </row>
    <row r="167" spans="1:5">
      <c r="A167" s="204" t="s">
        <v>576</v>
      </c>
      <c r="B167" s="204">
        <v>1495332.02</v>
      </c>
      <c r="C167" s="216"/>
      <c r="D167" s="204">
        <v>2302130</v>
      </c>
      <c r="E167" s="216"/>
    </row>
    <row r="168" spans="1:5">
      <c r="A168" s="204" t="s">
        <v>577</v>
      </c>
      <c r="B168" s="204">
        <v>354715.56</v>
      </c>
      <c r="C168" s="216"/>
      <c r="D168" s="204">
        <v>244990.2</v>
      </c>
      <c r="E168" s="216"/>
    </row>
    <row r="169" spans="1:5">
      <c r="A169" s="203" t="s">
        <v>579</v>
      </c>
      <c r="B169" s="203">
        <v>362865.83</v>
      </c>
      <c r="C169" s="216"/>
      <c r="D169" s="203">
        <v>254810.52</v>
      </c>
      <c r="E169" s="216"/>
    </row>
    <row r="170" spans="1:5">
      <c r="A170" s="203" t="s">
        <v>580</v>
      </c>
      <c r="B170" s="203">
        <v>0</v>
      </c>
      <c r="C170" s="247">
        <f>B169+B170</f>
        <v>362865.83</v>
      </c>
      <c r="D170" s="203">
        <v>13286.22</v>
      </c>
      <c r="E170" s="247">
        <f>SUM(D169:D170)</f>
        <v>268096.74</v>
      </c>
    </row>
    <row r="171" spans="1:5">
      <c r="A171" s="204" t="s">
        <v>581</v>
      </c>
      <c r="B171" s="204">
        <v>818476.02</v>
      </c>
      <c r="C171" s="216"/>
      <c r="D171" s="204">
        <v>577962.26</v>
      </c>
      <c r="E171" s="216"/>
    </row>
    <row r="172" spans="1:5">
      <c r="A172" s="204" t="s">
        <v>582</v>
      </c>
      <c r="B172" s="204">
        <v>959144.67</v>
      </c>
      <c r="C172" s="216"/>
      <c r="D172" s="204">
        <v>507756.81</v>
      </c>
      <c r="E172" s="216"/>
    </row>
    <row r="173" spans="1:5">
      <c r="A173" s="204" t="s">
        <v>583</v>
      </c>
      <c r="B173" s="204">
        <v>0</v>
      </c>
      <c r="C173" s="216"/>
      <c r="D173" s="204">
        <v>90.9</v>
      </c>
      <c r="E173" s="216"/>
    </row>
    <row r="174" spans="1:5">
      <c r="A174" s="205" t="s">
        <v>584</v>
      </c>
      <c r="B174" s="204">
        <v>33640270.890000001</v>
      </c>
      <c r="C174" s="216"/>
      <c r="D174" s="204">
        <v>33064859.379999999</v>
      </c>
      <c r="E174" s="216"/>
    </row>
    <row r="175" spans="1:5">
      <c r="A175" s="204" t="s">
        <v>585</v>
      </c>
      <c r="B175" s="204">
        <v>452.68</v>
      </c>
      <c r="C175" s="216"/>
      <c r="D175" s="204">
        <v>208.43</v>
      </c>
      <c r="E175" s="216"/>
    </row>
    <row r="176" spans="1:5">
      <c r="A176" s="205" t="s">
        <v>586</v>
      </c>
      <c r="B176" s="204">
        <v>7525162.3899999997</v>
      </c>
      <c r="C176" s="216"/>
      <c r="D176" s="204">
        <v>7240875.0199999996</v>
      </c>
      <c r="E176" s="216"/>
    </row>
    <row r="177" spans="1:5">
      <c r="A177" s="204" t="s">
        <v>587</v>
      </c>
      <c r="B177" s="204">
        <v>0</v>
      </c>
      <c r="C177" s="216"/>
      <c r="D177" s="204">
        <v>11.11</v>
      </c>
      <c r="E177" s="216"/>
    </row>
    <row r="178" spans="1:5">
      <c r="A178" s="205" t="s">
        <v>588</v>
      </c>
      <c r="B178" s="204">
        <v>266399.86</v>
      </c>
      <c r="C178" s="216"/>
      <c r="D178" s="204">
        <v>286175.74</v>
      </c>
      <c r="E178" s="216"/>
    </row>
    <row r="179" spans="1:5">
      <c r="A179" s="204" t="s">
        <v>589</v>
      </c>
      <c r="B179" s="204">
        <v>392973</v>
      </c>
      <c r="C179" s="216"/>
      <c r="D179" s="204">
        <v>314495.28000000003</v>
      </c>
      <c r="E179" s="216"/>
    </row>
    <row r="180" spans="1:5">
      <c r="A180" s="204" t="s">
        <v>590</v>
      </c>
      <c r="B180" s="204">
        <v>372626.97</v>
      </c>
      <c r="C180" s="216"/>
      <c r="D180" s="204">
        <v>298752.86</v>
      </c>
      <c r="E180" s="216"/>
    </row>
    <row r="181" spans="1:5">
      <c r="A181" s="204" t="s">
        <v>591</v>
      </c>
      <c r="B181" s="204">
        <v>47676</v>
      </c>
      <c r="C181" s="216"/>
      <c r="D181" s="204">
        <v>47676</v>
      </c>
      <c r="E181" s="216"/>
    </row>
    <row r="182" spans="1:5">
      <c r="A182" s="204"/>
      <c r="B182" s="204">
        <v>850</v>
      </c>
      <c r="C182" s="216"/>
      <c r="D182" s="204"/>
      <c r="E182" s="216"/>
    </row>
    <row r="183" spans="1:5">
      <c r="A183" s="204" t="s">
        <v>592</v>
      </c>
      <c r="B183" s="204">
        <v>6738.46</v>
      </c>
      <c r="C183" s="216"/>
      <c r="D183" s="204">
        <v>19043.3</v>
      </c>
      <c r="E183" s="216"/>
    </row>
    <row r="184" spans="1:5">
      <c r="A184" s="204" t="s">
        <v>593</v>
      </c>
      <c r="B184" s="204">
        <v>0</v>
      </c>
      <c r="C184" s="216"/>
      <c r="D184" s="204">
        <v>743.75</v>
      </c>
      <c r="E184" s="216"/>
    </row>
    <row r="185" spans="1:5">
      <c r="A185" s="204" t="s">
        <v>594</v>
      </c>
      <c r="B185" s="204">
        <v>125565.4</v>
      </c>
      <c r="C185" s="216"/>
      <c r="D185" s="204">
        <v>122042.11</v>
      </c>
      <c r="E185" s="216"/>
    </row>
    <row r="186" spans="1:5">
      <c r="A186" s="80" t="s">
        <v>595</v>
      </c>
      <c r="B186" s="80">
        <v>1278276.74</v>
      </c>
      <c r="C186" s="230">
        <f>C188-C187</f>
        <v>41477357.820000008</v>
      </c>
      <c r="D186" s="80">
        <v>1186216.7</v>
      </c>
      <c r="E186" s="216"/>
    </row>
    <row r="187" spans="1:5">
      <c r="A187" s="204" t="s">
        <v>596</v>
      </c>
      <c r="B187" s="204">
        <v>78183.47</v>
      </c>
      <c r="C187" s="230">
        <f>H329+H327</f>
        <v>4625616.25</v>
      </c>
      <c r="D187" s="204">
        <v>69419.12</v>
      </c>
      <c r="E187" s="216"/>
    </row>
    <row r="188" spans="1:5">
      <c r="A188" s="204" t="s">
        <v>597</v>
      </c>
      <c r="B188" s="204">
        <v>18406.68</v>
      </c>
      <c r="C188" s="230">
        <f>SUM(B187:B188,B171:B185,B167:B168)</f>
        <v>46102974.070000008</v>
      </c>
      <c r="D188" s="204">
        <v>16957.41</v>
      </c>
      <c r="E188" s="230">
        <f>+D167+D168+D171+D172+D174+D175+D176+D177+D178+D179+D180+D181+D183+D185+D187+D188+D184+D173</f>
        <v>45114189.679999985</v>
      </c>
    </row>
    <row r="189" spans="1:5">
      <c r="A189" s="80" t="s">
        <v>598</v>
      </c>
      <c r="B189" s="80">
        <v>125777.35</v>
      </c>
      <c r="C189" s="216"/>
      <c r="D189" s="80">
        <v>118056.68</v>
      </c>
      <c r="E189" s="216"/>
    </row>
    <row r="190" spans="1:5">
      <c r="A190" s="80" t="s">
        <v>599</v>
      </c>
      <c r="B190" s="80">
        <v>15676.25</v>
      </c>
      <c r="C190" s="216"/>
      <c r="D190" s="80">
        <v>0</v>
      </c>
      <c r="E190" s="216"/>
    </row>
    <row r="191" spans="1:5">
      <c r="A191" s="80" t="s">
        <v>600</v>
      </c>
      <c r="B191" s="80">
        <v>31585.55</v>
      </c>
      <c r="C191" s="216"/>
      <c r="D191" s="80">
        <v>9428</v>
      </c>
      <c r="E191" s="216"/>
    </row>
    <row r="192" spans="1:5">
      <c r="A192" s="80" t="s">
        <v>601</v>
      </c>
      <c r="B192" s="80">
        <v>108389.73</v>
      </c>
      <c r="C192" s="216"/>
      <c r="D192" s="80">
        <v>54920</v>
      </c>
      <c r="E192" s="216"/>
    </row>
    <row r="193" spans="1:7">
      <c r="A193" s="80" t="s">
        <v>602</v>
      </c>
      <c r="B193" s="80">
        <v>227500</v>
      </c>
      <c r="C193" s="216"/>
      <c r="D193" s="80">
        <v>440151</v>
      </c>
      <c r="E193" s="216"/>
    </row>
    <row r="194" spans="1:7">
      <c r="A194" s="192" t="s">
        <v>985</v>
      </c>
      <c r="B194" s="192">
        <v>510000</v>
      </c>
      <c r="C194" s="216"/>
      <c r="D194" s="80"/>
      <c r="E194" s="216"/>
      <c r="F194" s="81">
        <f>B200-'PiR-popis'!C119</f>
        <v>0</v>
      </c>
    </row>
    <row r="195" spans="1:7">
      <c r="A195" s="80" t="s">
        <v>603</v>
      </c>
      <c r="B195" s="80">
        <v>343264.12</v>
      </c>
      <c r="C195" s="216"/>
      <c r="D195" s="80">
        <v>3871915.55</v>
      </c>
      <c r="E195" s="216"/>
    </row>
    <row r="196" spans="1:7">
      <c r="A196" s="80" t="s">
        <v>604</v>
      </c>
      <c r="B196" s="80">
        <v>484455.86</v>
      </c>
      <c r="C196" s="216"/>
      <c r="D196" s="80">
        <v>557809.97</v>
      </c>
      <c r="E196" s="216"/>
    </row>
    <row r="197" spans="1:7">
      <c r="A197" s="80" t="s">
        <v>605</v>
      </c>
      <c r="B197" s="80">
        <v>300</v>
      </c>
      <c r="C197" s="219">
        <f>C199-C198</f>
        <v>2415525.7799999998</v>
      </c>
      <c r="D197" s="80">
        <v>0</v>
      </c>
      <c r="E197" s="216"/>
    </row>
    <row r="198" spans="1:7">
      <c r="A198" s="80" t="s">
        <v>606</v>
      </c>
      <c r="B198" s="80">
        <v>27769.97</v>
      </c>
      <c r="C198" s="219">
        <f>H335</f>
        <v>363073.37</v>
      </c>
      <c r="D198" s="80">
        <v>38227.870000000003</v>
      </c>
      <c r="E198" s="216"/>
    </row>
    <row r="199" spans="1:7">
      <c r="A199" s="80" t="s">
        <v>607</v>
      </c>
      <c r="B199" s="80">
        <v>135603.57999999999</v>
      </c>
      <c r="C199" s="219">
        <f>SUM(B195:B199,B189:B193,B186)</f>
        <v>2778599.15</v>
      </c>
      <c r="D199" s="80">
        <v>345231.28</v>
      </c>
      <c r="E199" s="219">
        <f>SUM(D189:D199)+D186</f>
        <v>6621957.0499999998</v>
      </c>
    </row>
    <row r="200" spans="1:7">
      <c r="B200" s="99">
        <f t="shared" ref="B200:C200" si="5">SUM(B120:B199)</f>
        <v>160592396.85000002</v>
      </c>
      <c r="C200" s="99">
        <f t="shared" si="5"/>
        <v>213314759.78000003</v>
      </c>
      <c r="D200" s="99">
        <f>SUM(D120:D199)</f>
        <v>142968620.8600001</v>
      </c>
      <c r="E200" s="215">
        <f>SUM(E120:E199)</f>
        <v>142968620.86000001</v>
      </c>
      <c r="G200" s="99"/>
    </row>
    <row r="202" spans="1:7">
      <c r="A202" s="292" t="s">
        <v>707</v>
      </c>
    </row>
    <row r="203" spans="1:7">
      <c r="A203" s="293"/>
      <c r="B203" s="1038">
        <v>1000</v>
      </c>
      <c r="C203" s="976"/>
      <c r="D203" s="393">
        <v>200382.35</v>
      </c>
    </row>
    <row r="204" spans="1:7">
      <c r="A204" s="101"/>
      <c r="B204" s="1039">
        <v>2000</v>
      </c>
      <c r="D204" s="294">
        <v>7187456.2299999995</v>
      </c>
    </row>
    <row r="205" spans="1:7">
      <c r="A205" s="101"/>
      <c r="B205" s="1039">
        <v>3010</v>
      </c>
      <c r="D205" s="294">
        <v>33220.58</v>
      </c>
    </row>
    <row r="206" spans="1:7">
      <c r="A206" s="295"/>
      <c r="B206" s="929"/>
      <c r="C206" s="929"/>
      <c r="D206" s="394">
        <f>SUM(D203:D205)</f>
        <v>7421059.1599999992</v>
      </c>
      <c r="E206" s="215">
        <f>D206</f>
        <v>7421059.1599999992</v>
      </c>
    </row>
    <row r="207" spans="1:7">
      <c r="D207" s="78"/>
    </row>
    <row r="208" spans="1:7">
      <c r="A208" s="296" t="s">
        <v>898</v>
      </c>
      <c r="B208" s="976"/>
      <c r="C208" s="976"/>
      <c r="D208" s="297"/>
    </row>
    <row r="209" spans="1:5">
      <c r="A209" s="298"/>
      <c r="D209" s="105"/>
    </row>
    <row r="210" spans="1:5">
      <c r="A210" s="298" t="s">
        <v>641</v>
      </c>
      <c r="D210" s="105"/>
    </row>
    <row r="211" spans="1:5">
      <c r="A211" s="101" t="s">
        <v>643</v>
      </c>
      <c r="B211" s="81">
        <v>0</v>
      </c>
      <c r="D211" s="294">
        <v>558041.25</v>
      </c>
    </row>
    <row r="212" spans="1:5">
      <c r="A212" s="101"/>
      <c r="B212" s="99">
        <f>SUM(B211)</f>
        <v>0</v>
      </c>
      <c r="C212" s="984">
        <f>B212</f>
        <v>0</v>
      </c>
      <c r="D212" s="299">
        <f>+D211</f>
        <v>558041.25</v>
      </c>
      <c r="E212" s="215">
        <f>D212</f>
        <v>558041.25</v>
      </c>
    </row>
    <row r="213" spans="1:5">
      <c r="A213" s="298" t="s">
        <v>646</v>
      </c>
      <c r="C213" s="984"/>
      <c r="D213" s="105"/>
    </row>
    <row r="214" spans="1:5">
      <c r="A214" s="101" t="s">
        <v>648</v>
      </c>
      <c r="B214" s="81">
        <v>0</v>
      </c>
      <c r="C214" s="984"/>
      <c r="D214" s="294">
        <v>412359.77</v>
      </c>
    </row>
    <row r="215" spans="1:5">
      <c r="A215" s="101"/>
      <c r="B215" s="99">
        <f>SUM(B214)</f>
        <v>0</v>
      </c>
      <c r="C215" s="984">
        <f>B215</f>
        <v>0</v>
      </c>
      <c r="D215" s="299">
        <f>+D214</f>
        <v>412359.77</v>
      </c>
      <c r="E215" s="215">
        <f>D215</f>
        <v>412359.77</v>
      </c>
    </row>
    <row r="216" spans="1:5">
      <c r="A216" s="298" t="s">
        <v>650</v>
      </c>
      <c r="C216" s="984"/>
      <c r="D216" s="105"/>
    </row>
    <row r="217" spans="1:5">
      <c r="A217" s="101" t="s">
        <v>651</v>
      </c>
      <c r="B217" s="81">
        <v>39581035.859999999</v>
      </c>
      <c r="C217" s="984"/>
      <c r="D217" s="294">
        <v>5143195.04</v>
      </c>
    </row>
    <row r="218" spans="1:5">
      <c r="A218" s="101"/>
      <c r="B218" s="99">
        <f>SUM(B217)</f>
        <v>39581035.859999999</v>
      </c>
      <c r="C218" s="984">
        <f>B218</f>
        <v>39581035.859999999</v>
      </c>
      <c r="D218" s="299">
        <f>+D217</f>
        <v>5143195.04</v>
      </c>
      <c r="E218" s="215">
        <f>D218</f>
        <v>5143195.04</v>
      </c>
    </row>
    <row r="219" spans="1:5">
      <c r="A219" s="298" t="s">
        <v>652</v>
      </c>
      <c r="C219" s="984"/>
      <c r="D219" s="294"/>
    </row>
    <row r="220" spans="1:5">
      <c r="A220" s="101" t="s">
        <v>653</v>
      </c>
      <c r="C220" s="984"/>
      <c r="D220" s="105"/>
    </row>
    <row r="221" spans="1:5">
      <c r="A221" s="301" t="s">
        <v>654</v>
      </c>
      <c r="B221" s="977">
        <v>32749413.940000001</v>
      </c>
      <c r="C221" s="1002">
        <f>B221</f>
        <v>32749413.940000001</v>
      </c>
      <c r="D221" s="294">
        <v>24821713.600000001</v>
      </c>
      <c r="E221" s="215">
        <f>D221</f>
        <v>24821713.600000001</v>
      </c>
    </row>
    <row r="222" spans="1:5">
      <c r="A222" s="396" t="s">
        <v>655</v>
      </c>
      <c r="B222" s="998">
        <v>25504.45</v>
      </c>
      <c r="C222" s="1002">
        <f>B222</f>
        <v>25504.45</v>
      </c>
      <c r="D222" s="395">
        <v>7135750.0599999996</v>
      </c>
      <c r="E222" s="215">
        <f>D222</f>
        <v>7135750.0599999996</v>
      </c>
    </row>
    <row r="223" spans="1:5">
      <c r="A223" s="396" t="s">
        <v>656</v>
      </c>
      <c r="B223" s="977"/>
      <c r="C223" s="1002"/>
      <c r="D223" s="395">
        <v>0</v>
      </c>
      <c r="E223" s="215"/>
    </row>
    <row r="224" spans="1:5">
      <c r="A224" s="301" t="s">
        <v>657</v>
      </c>
      <c r="B224" s="81">
        <v>1309372.2</v>
      </c>
      <c r="C224" s="984">
        <f>B224</f>
        <v>1309372.2</v>
      </c>
      <c r="D224" s="300">
        <v>32483187.890000001</v>
      </c>
      <c r="E224" s="215">
        <f>D224</f>
        <v>32483187.890000001</v>
      </c>
    </row>
    <row r="225" spans="1:5">
      <c r="A225" s="101"/>
      <c r="B225" s="99">
        <f>B221+B224</f>
        <v>34058786.140000001</v>
      </c>
      <c r="C225" s="984"/>
      <c r="D225" s="299">
        <f>SUM(D221:D224)</f>
        <v>64440651.549999997</v>
      </c>
    </row>
    <row r="226" spans="1:5">
      <c r="A226" s="295"/>
      <c r="B226" s="999">
        <f>B225+B218</f>
        <v>73639822</v>
      </c>
      <c r="C226" s="1003">
        <f>B226</f>
        <v>73639822</v>
      </c>
      <c r="D226" s="302">
        <f>+D225+D218+D215+D212</f>
        <v>70554247.609999999</v>
      </c>
      <c r="E226" s="215">
        <f>D226</f>
        <v>70554247.609999999</v>
      </c>
    </row>
    <row r="227" spans="1:5">
      <c r="A227" s="293"/>
      <c r="B227" s="976"/>
      <c r="C227" s="1000"/>
      <c r="D227" s="303"/>
    </row>
    <row r="228" spans="1:5">
      <c r="A228" s="101"/>
      <c r="B228" s="81">
        <f>B226-B229</f>
        <v>25504.45000000298</v>
      </c>
      <c r="C228" s="984">
        <f>B228</f>
        <v>25504.45000000298</v>
      </c>
      <c r="D228" s="294">
        <f>D226-D229</f>
        <v>7135750.0600000024</v>
      </c>
      <c r="E228" s="215">
        <f>D228</f>
        <v>7135750.0600000024</v>
      </c>
    </row>
    <row r="229" spans="1:5">
      <c r="A229" s="295"/>
      <c r="B229" s="929">
        <f>+B226-B222-B223</f>
        <v>73614317.549999997</v>
      </c>
      <c r="C229" s="1003">
        <f>B229</f>
        <v>73614317.549999997</v>
      </c>
      <c r="D229" s="392">
        <f>+D226-D222-D223</f>
        <v>63418497.549999997</v>
      </c>
      <c r="E229" s="215">
        <f>D229</f>
        <v>63418497.549999997</v>
      </c>
    </row>
    <row r="230" spans="1:5">
      <c r="C230" s="99"/>
    </row>
    <row r="231" spans="1:5">
      <c r="A231" s="296" t="s">
        <v>658</v>
      </c>
      <c r="B231" s="1001" t="s">
        <v>99</v>
      </c>
      <c r="C231" s="976"/>
      <c r="D231" s="304" t="s">
        <v>423</v>
      </c>
    </row>
    <row r="232" spans="1:5">
      <c r="A232" s="101" t="s">
        <v>660</v>
      </c>
      <c r="B232" s="81">
        <v>21518533.710000001</v>
      </c>
      <c r="C232" s="984">
        <f>B232</f>
        <v>21518533.710000001</v>
      </c>
      <c r="D232" s="294">
        <v>24086515.359999999</v>
      </c>
      <c r="E232" s="215">
        <f>D232</f>
        <v>24086515.359999999</v>
      </c>
    </row>
    <row r="233" spans="1:5">
      <c r="A233" s="101" t="s">
        <v>662</v>
      </c>
      <c r="B233" s="81">
        <v>596349.16</v>
      </c>
      <c r="C233" s="984"/>
      <c r="D233" s="300">
        <v>609571.16</v>
      </c>
      <c r="E233" s="231"/>
    </row>
    <row r="234" spans="1:5">
      <c r="A234" s="101" t="s">
        <v>663</v>
      </c>
      <c r="C234" s="984"/>
      <c r="D234" s="300">
        <v>0</v>
      </c>
      <c r="E234" s="231"/>
    </row>
    <row r="235" spans="1:5">
      <c r="A235" s="101" t="s">
        <v>664</v>
      </c>
      <c r="B235" s="81">
        <v>955249.58</v>
      </c>
      <c r="C235" s="984"/>
      <c r="D235" s="300">
        <v>950591.48</v>
      </c>
      <c r="E235" s="231"/>
    </row>
    <row r="236" spans="1:5">
      <c r="A236" s="101" t="s">
        <v>665</v>
      </c>
      <c r="B236" s="81">
        <v>5831170.4100000001</v>
      </c>
      <c r="C236" s="984">
        <f>SUM(B233:B236)</f>
        <v>7382769.1500000004</v>
      </c>
      <c r="D236" s="300">
        <v>5855155.9900000002</v>
      </c>
      <c r="E236" s="215">
        <f>SUM(D233:D236)</f>
        <v>7415318.6300000008</v>
      </c>
    </row>
    <row r="237" spans="1:5">
      <c r="A237" s="101"/>
      <c r="B237" s="99">
        <f>SUM(B232:B236)</f>
        <v>28901302.859999999</v>
      </c>
      <c r="C237" s="984">
        <f>C236+C232</f>
        <v>28901302.859999999</v>
      </c>
      <c r="D237" s="305">
        <f>SUM(D232:D236)</f>
        <v>31501833.990000002</v>
      </c>
      <c r="E237" s="215">
        <f>SUM(E232:E236)</f>
        <v>31501833.990000002</v>
      </c>
    </row>
    <row r="238" spans="1:5">
      <c r="A238" s="101"/>
      <c r="D238" s="294"/>
    </row>
    <row r="239" spans="1:5">
      <c r="A239" s="306" t="s">
        <v>666</v>
      </c>
      <c r="B239" s="929"/>
      <c r="C239" s="929"/>
      <c r="D239" s="397">
        <v>7936954.2800000003</v>
      </c>
    </row>
    <row r="240" spans="1:5">
      <c r="D240" s="81"/>
    </row>
    <row r="241" spans="1:6">
      <c r="A241" s="77" t="s">
        <v>512</v>
      </c>
      <c r="B241" s="1004" t="s">
        <v>99</v>
      </c>
      <c r="D241" s="190" t="s">
        <v>423</v>
      </c>
      <c r="E241" s="227"/>
    </row>
    <row r="242" spans="1:6">
      <c r="A242" s="191" t="s">
        <v>514</v>
      </c>
      <c r="B242" s="191"/>
      <c r="C242" s="191"/>
      <c r="D242" s="191">
        <v>829360</v>
      </c>
      <c r="E242" s="216"/>
      <c r="F242" s="1092"/>
    </row>
    <row r="243" spans="1:6">
      <c r="A243" s="191" t="s">
        <v>516</v>
      </c>
      <c r="B243" s="191"/>
      <c r="C243" s="191"/>
      <c r="D243" s="191">
        <v>72750.22</v>
      </c>
      <c r="E243" s="216"/>
      <c r="F243" s="1092"/>
    </row>
    <row r="244" spans="1:6">
      <c r="A244" s="191" t="s">
        <v>518</v>
      </c>
      <c r="B244" s="191"/>
      <c r="C244" s="191"/>
      <c r="D244" s="191">
        <v>6737.63</v>
      </c>
      <c r="E244" s="216"/>
      <c r="F244" s="1092"/>
    </row>
    <row r="245" spans="1:6">
      <c r="A245" s="191" t="s">
        <v>520</v>
      </c>
      <c r="B245" s="191"/>
      <c r="C245" s="191"/>
      <c r="D245" s="191">
        <v>423100.47</v>
      </c>
      <c r="E245" s="216"/>
      <c r="F245" s="1092"/>
    </row>
    <row r="246" spans="1:6">
      <c r="A246" s="191" t="s">
        <v>522</v>
      </c>
      <c r="B246" s="191"/>
      <c r="C246" s="191"/>
      <c r="D246" s="191">
        <v>15673.85</v>
      </c>
      <c r="E246" s="216"/>
      <c r="F246" s="1092"/>
    </row>
    <row r="247" spans="1:6">
      <c r="A247" s="191" t="s">
        <v>524</v>
      </c>
      <c r="B247" s="191"/>
      <c r="C247" s="191"/>
      <c r="D247" s="191">
        <v>453582.08000000002</v>
      </c>
      <c r="E247" s="216"/>
      <c r="F247" s="1092"/>
    </row>
    <row r="248" spans="1:6">
      <c r="A248" s="191" t="s">
        <v>526</v>
      </c>
      <c r="B248" s="191"/>
      <c r="C248" s="191"/>
      <c r="D248" s="87">
        <v>250004.8</v>
      </c>
      <c r="E248" s="216"/>
      <c r="F248" s="1092"/>
    </row>
    <row r="249" spans="1:6">
      <c r="A249" s="191" t="s">
        <v>528</v>
      </c>
      <c r="B249" s="191"/>
      <c r="C249" s="191"/>
      <c r="D249" s="191">
        <v>8908.08</v>
      </c>
      <c r="E249" s="216"/>
      <c r="F249" s="1092"/>
    </row>
    <row r="250" spans="1:6">
      <c r="A250" s="191" t="s">
        <v>530</v>
      </c>
      <c r="B250" s="191"/>
      <c r="C250" s="191"/>
      <c r="D250" s="191">
        <v>9890.27</v>
      </c>
      <c r="E250" s="228">
        <f>E252-E251</f>
        <v>2118750.6700000004</v>
      </c>
      <c r="F250" s="1092"/>
    </row>
    <row r="251" spans="1:6">
      <c r="A251" s="191" t="s">
        <v>532</v>
      </c>
      <c r="B251" s="191"/>
      <c r="C251" s="191"/>
      <c r="D251" s="191">
        <v>1613.07</v>
      </c>
      <c r="E251" s="220">
        <f>D248</f>
        <v>250004.8</v>
      </c>
      <c r="F251" s="1092"/>
    </row>
    <row r="252" spans="1:6">
      <c r="A252" s="191" t="s">
        <v>534</v>
      </c>
      <c r="B252" s="191"/>
      <c r="C252" s="191"/>
      <c r="D252" s="191">
        <v>297135</v>
      </c>
      <c r="E252" s="228">
        <f>SUM(D242:D252)</f>
        <v>2368755.4700000002</v>
      </c>
      <c r="F252" s="1092"/>
    </row>
    <row r="253" spans="1:6">
      <c r="A253" s="192" t="s">
        <v>536</v>
      </c>
      <c r="B253" s="192"/>
      <c r="C253" s="192"/>
      <c r="D253" s="192">
        <v>20420620.859999999</v>
      </c>
      <c r="E253" s="216"/>
      <c r="F253" s="1092"/>
    </row>
    <row r="254" spans="1:6">
      <c r="A254" s="192" t="s">
        <v>538</v>
      </c>
      <c r="B254" s="192"/>
      <c r="C254" s="192"/>
      <c r="D254" s="87">
        <v>2422799.7599999998</v>
      </c>
      <c r="F254" s="1092"/>
    </row>
    <row r="255" spans="1:6">
      <c r="A255" s="193" t="s">
        <v>540</v>
      </c>
      <c r="B255" s="193"/>
      <c r="C255" s="193"/>
      <c r="D255" s="193">
        <v>63925.65</v>
      </c>
      <c r="E255" s="216"/>
      <c r="F255" s="1092"/>
    </row>
    <row r="256" spans="1:6">
      <c r="A256" s="193" t="s">
        <v>542</v>
      </c>
      <c r="B256" s="193"/>
      <c r="C256" s="193"/>
      <c r="D256" s="193">
        <v>0</v>
      </c>
      <c r="E256" s="248">
        <f>D256+D255</f>
        <v>63925.65</v>
      </c>
      <c r="F256" s="1092"/>
    </row>
    <row r="257" spans="1:6">
      <c r="A257" s="192" t="s">
        <v>544</v>
      </c>
      <c r="B257" s="192"/>
      <c r="C257" s="192"/>
      <c r="D257" s="192">
        <v>21067.759999999998</v>
      </c>
      <c r="E257" s="216"/>
      <c r="F257" s="1092"/>
    </row>
    <row r="258" spans="1:6">
      <c r="A258" s="192" t="s">
        <v>546</v>
      </c>
      <c r="B258" s="192"/>
      <c r="C258" s="192"/>
      <c r="D258" s="192">
        <v>19754.64</v>
      </c>
      <c r="E258" s="216"/>
      <c r="F258" s="1092"/>
    </row>
    <row r="259" spans="1:6">
      <c r="A259" s="192" t="s">
        <v>547</v>
      </c>
      <c r="B259" s="192"/>
      <c r="C259" s="192"/>
      <c r="D259" s="192">
        <v>17629.169999999998</v>
      </c>
      <c r="E259" s="216"/>
      <c r="F259" s="1092"/>
    </row>
    <row r="260" spans="1:6">
      <c r="A260" s="192" t="s">
        <v>548</v>
      </c>
      <c r="B260" s="192"/>
      <c r="C260" s="192"/>
      <c r="D260" s="192">
        <v>1928411.3</v>
      </c>
      <c r="E260" s="216"/>
      <c r="F260" s="1092"/>
    </row>
    <row r="261" spans="1:6">
      <c r="A261" s="192" t="s">
        <v>550</v>
      </c>
      <c r="B261" s="192"/>
      <c r="C261" s="192"/>
      <c r="D261" s="192">
        <v>14250727.5</v>
      </c>
      <c r="E261" s="216"/>
      <c r="F261" s="1092"/>
    </row>
    <row r="262" spans="1:6">
      <c r="A262" s="192" t="s">
        <v>551</v>
      </c>
      <c r="B262" s="192"/>
      <c r="C262" s="192"/>
      <c r="D262" s="192">
        <v>21849183.199999999</v>
      </c>
      <c r="E262" s="216"/>
      <c r="F262" s="1092"/>
    </row>
    <row r="263" spans="1:6">
      <c r="A263" s="192" t="s">
        <v>552</v>
      </c>
      <c r="B263" s="192"/>
      <c r="C263" s="192"/>
      <c r="D263" s="192">
        <v>1204198.76</v>
      </c>
      <c r="E263" s="216"/>
      <c r="F263" s="1092"/>
    </row>
    <row r="264" spans="1:6">
      <c r="A264" s="192" t="s">
        <v>553</v>
      </c>
      <c r="B264" s="192"/>
      <c r="C264" s="192"/>
      <c r="D264" s="192">
        <v>11050000</v>
      </c>
      <c r="E264" s="216"/>
      <c r="F264" s="1092"/>
    </row>
    <row r="265" spans="1:6">
      <c r="A265" s="192" t="s">
        <v>554</v>
      </c>
      <c r="B265" s="192"/>
      <c r="C265" s="192"/>
      <c r="D265" s="192">
        <v>3470500</v>
      </c>
      <c r="E265" s="216"/>
      <c r="F265" s="1092"/>
    </row>
    <row r="266" spans="1:6">
      <c r="A266" s="192" t="s">
        <v>555</v>
      </c>
      <c r="B266" s="192"/>
      <c r="C266" s="192"/>
      <c r="D266" s="192">
        <v>1229655</v>
      </c>
      <c r="E266" s="216"/>
      <c r="F266" s="1092"/>
    </row>
    <row r="267" spans="1:6">
      <c r="A267" s="192" t="s">
        <v>556</v>
      </c>
      <c r="B267" s="192"/>
      <c r="C267" s="192"/>
      <c r="D267" s="192">
        <v>674500</v>
      </c>
      <c r="E267" s="216"/>
      <c r="F267" s="1092"/>
    </row>
    <row r="268" spans="1:6">
      <c r="A268" s="192" t="s">
        <v>557</v>
      </c>
      <c r="B268" s="192"/>
      <c r="C268" s="192"/>
      <c r="D268" s="192">
        <v>165000</v>
      </c>
      <c r="E268" s="229">
        <f>SUM(D257:D270)+D253</f>
        <v>76961248.189999998</v>
      </c>
      <c r="F268" s="1092"/>
    </row>
    <row r="269" spans="1:6">
      <c r="A269" s="192" t="s">
        <v>558</v>
      </c>
      <c r="B269" s="192"/>
      <c r="C269" s="192"/>
      <c r="D269" s="192">
        <v>660000</v>
      </c>
      <c r="E269" s="220">
        <f>D324</f>
        <v>2422799.7599999998</v>
      </c>
      <c r="F269" s="1092"/>
    </row>
    <row r="270" spans="1:6">
      <c r="A270" s="192" t="s">
        <v>559</v>
      </c>
      <c r="B270" s="192"/>
      <c r="C270" s="192"/>
      <c r="D270" s="192">
        <v>0</v>
      </c>
      <c r="E270" s="229">
        <f>E268+E269</f>
        <v>79384047.950000003</v>
      </c>
      <c r="F270" s="1092"/>
    </row>
    <row r="271" spans="1:6">
      <c r="A271" s="194" t="s">
        <v>560</v>
      </c>
      <c r="B271" s="194"/>
      <c r="C271" s="194"/>
      <c r="D271" s="194">
        <v>69547.03</v>
      </c>
      <c r="E271" s="238">
        <v>69547.03</v>
      </c>
      <c r="F271" s="1092"/>
    </row>
    <row r="272" spans="1:6">
      <c r="A272" s="195" t="s">
        <v>561</v>
      </c>
      <c r="B272" s="195"/>
      <c r="C272" s="195"/>
      <c r="D272" s="195">
        <v>34131.949999999997</v>
      </c>
      <c r="E272" s="239">
        <v>34131.949999999997</v>
      </c>
      <c r="F272" s="1092"/>
    </row>
    <row r="273" spans="1:6">
      <c r="A273" s="196" t="s">
        <v>562</v>
      </c>
      <c r="B273" s="196"/>
      <c r="C273" s="196"/>
      <c r="D273" s="196">
        <v>760389.7</v>
      </c>
      <c r="E273" s="240">
        <v>760389.7</v>
      </c>
      <c r="F273" s="1092"/>
    </row>
    <row r="274" spans="1:6">
      <c r="A274" s="197" t="s">
        <v>563</v>
      </c>
      <c r="B274" s="197"/>
      <c r="C274" s="197"/>
      <c r="D274" s="197">
        <v>267354.84000000003</v>
      </c>
      <c r="E274" s="241">
        <v>267354.84000000003</v>
      </c>
      <c r="F274" s="1092"/>
    </row>
    <row r="275" spans="1:6">
      <c r="A275" s="198" t="s">
        <v>564</v>
      </c>
      <c r="B275" s="198"/>
      <c r="C275" s="198"/>
      <c r="D275" s="198">
        <v>522850</v>
      </c>
      <c r="E275" s="242">
        <v>522850</v>
      </c>
      <c r="F275" s="1092"/>
    </row>
    <row r="276" spans="1:6">
      <c r="A276" s="199" t="s">
        <v>565</v>
      </c>
      <c r="B276" s="199"/>
      <c r="C276" s="199"/>
      <c r="D276" s="199">
        <v>945201.68</v>
      </c>
      <c r="E276" s="216"/>
      <c r="F276" s="1092"/>
    </row>
    <row r="277" spans="1:6">
      <c r="A277" s="199" t="s">
        <v>566</v>
      </c>
      <c r="B277" s="199"/>
      <c r="C277" s="199"/>
      <c r="D277" s="199">
        <v>597901.61</v>
      </c>
      <c r="E277" s="216"/>
      <c r="F277" s="1092"/>
    </row>
    <row r="278" spans="1:6">
      <c r="A278" s="199" t="s">
        <v>567</v>
      </c>
      <c r="B278" s="199"/>
      <c r="C278" s="199"/>
      <c r="D278" s="199">
        <v>99050</v>
      </c>
      <c r="E278" s="243">
        <f>SUM(D276:D278)</f>
        <v>1642153.29</v>
      </c>
      <c r="F278" s="1092"/>
    </row>
    <row r="279" spans="1:6">
      <c r="A279" s="200" t="s">
        <v>568</v>
      </c>
      <c r="B279" s="200"/>
      <c r="C279" s="200"/>
      <c r="D279" s="200">
        <v>100555.6</v>
      </c>
      <c r="E279" s="216"/>
      <c r="F279" s="1092"/>
    </row>
    <row r="280" spans="1:6">
      <c r="A280" s="200" t="s">
        <v>569</v>
      </c>
      <c r="B280" s="200"/>
      <c r="C280" s="200"/>
      <c r="D280" s="200">
        <v>23005</v>
      </c>
      <c r="E280" s="216"/>
      <c r="F280" s="1092"/>
    </row>
    <row r="281" spans="1:6">
      <c r="A281" s="200" t="s">
        <v>570</v>
      </c>
      <c r="B281" s="200"/>
      <c r="C281" s="200"/>
      <c r="D281" s="200">
        <v>603336.34</v>
      </c>
      <c r="E281" s="216"/>
      <c r="F281" s="1092"/>
    </row>
    <row r="282" spans="1:6">
      <c r="A282" s="200" t="s">
        <v>571</v>
      </c>
      <c r="B282" s="200"/>
      <c r="C282" s="200"/>
      <c r="D282" s="200">
        <v>43259.44</v>
      </c>
      <c r="E282" s="244">
        <f>SUM(D279:D282)</f>
        <v>770156.37999999989</v>
      </c>
      <c r="F282" s="1092"/>
    </row>
    <row r="283" spans="1:6">
      <c r="A283" s="201" t="s">
        <v>572</v>
      </c>
      <c r="B283" s="201"/>
      <c r="C283" s="201"/>
      <c r="D283" s="201">
        <v>55843.5</v>
      </c>
      <c r="E283" s="216"/>
      <c r="F283" s="1092"/>
    </row>
    <row r="284" spans="1:6">
      <c r="A284" s="201" t="s">
        <v>573</v>
      </c>
      <c r="B284" s="201"/>
      <c r="C284" s="201"/>
      <c r="D284" s="201">
        <v>6672.64</v>
      </c>
      <c r="E284" s="216"/>
      <c r="F284" s="1092"/>
    </row>
    <row r="285" spans="1:6">
      <c r="A285" s="201" t="s">
        <v>574</v>
      </c>
      <c r="B285" s="201"/>
      <c r="C285" s="201"/>
      <c r="D285" s="201">
        <v>67557.87</v>
      </c>
      <c r="E285" s="245">
        <f>SUM(D283:D285)</f>
        <v>130074.01</v>
      </c>
      <c r="F285" s="1092"/>
    </row>
    <row r="286" spans="1:6">
      <c r="A286" s="202" t="s">
        <v>575</v>
      </c>
      <c r="B286" s="202"/>
      <c r="C286" s="202"/>
      <c r="D286" s="202">
        <v>4950991.12</v>
      </c>
      <c r="E286" s="246">
        <f>D286</f>
        <v>4950991.12</v>
      </c>
      <c r="F286" s="1092"/>
    </row>
    <row r="287" spans="1:6">
      <c r="A287" s="204" t="s">
        <v>576</v>
      </c>
      <c r="B287" s="204"/>
      <c r="C287" s="204"/>
      <c r="D287" s="204">
        <v>2302130</v>
      </c>
      <c r="E287" s="216"/>
      <c r="F287" s="1092"/>
    </row>
    <row r="288" spans="1:6">
      <c r="A288" s="204" t="s">
        <v>577</v>
      </c>
      <c r="B288" s="204"/>
      <c r="C288" s="204"/>
      <c r="D288" s="204">
        <v>244990.2</v>
      </c>
      <c r="E288" s="216"/>
      <c r="F288" s="1092"/>
    </row>
    <row r="289" spans="1:6">
      <c r="A289" s="203" t="s">
        <v>579</v>
      </c>
      <c r="B289" s="203"/>
      <c r="C289" s="203"/>
      <c r="D289" s="203">
        <v>254810.52</v>
      </c>
      <c r="E289" s="216"/>
      <c r="F289" s="1092"/>
    </row>
    <row r="290" spans="1:6">
      <c r="A290" s="203" t="s">
        <v>580</v>
      </c>
      <c r="B290" s="203"/>
      <c r="C290" s="203"/>
      <c r="D290" s="203">
        <v>13286.22</v>
      </c>
      <c r="E290" s="247">
        <f>SUM(D289:D290)</f>
        <v>268096.74</v>
      </c>
      <c r="F290" s="1092"/>
    </row>
    <row r="291" spans="1:6">
      <c r="A291" s="204" t="s">
        <v>581</v>
      </c>
      <c r="B291" s="204"/>
      <c r="C291" s="204"/>
      <c r="D291" s="204">
        <v>577962.26</v>
      </c>
      <c r="E291" s="216"/>
      <c r="F291" s="1092"/>
    </row>
    <row r="292" spans="1:6">
      <c r="A292" s="204" t="s">
        <v>582</v>
      </c>
      <c r="B292" s="204"/>
      <c r="C292" s="204"/>
      <c r="D292" s="204">
        <v>507756.81</v>
      </c>
      <c r="E292" s="216"/>
      <c r="F292" s="1092"/>
    </row>
    <row r="293" spans="1:6">
      <c r="A293" s="204" t="s">
        <v>583</v>
      </c>
      <c r="B293" s="204"/>
      <c r="C293" s="204"/>
      <c r="D293" s="204">
        <v>90.9</v>
      </c>
      <c r="E293" s="216"/>
      <c r="F293" s="1092"/>
    </row>
    <row r="294" spans="1:6">
      <c r="A294" s="205" t="s">
        <v>584</v>
      </c>
      <c r="B294" s="205"/>
      <c r="C294" s="205"/>
      <c r="D294" s="204">
        <v>33064859.379999999</v>
      </c>
      <c r="E294" s="216"/>
      <c r="F294" s="1092"/>
    </row>
    <row r="295" spans="1:6">
      <c r="A295" s="204" t="s">
        <v>585</v>
      </c>
      <c r="B295" s="204"/>
      <c r="C295" s="204"/>
      <c r="D295" s="204">
        <v>208.43</v>
      </c>
      <c r="E295" s="216"/>
      <c r="F295" s="1092"/>
    </row>
    <row r="296" spans="1:6">
      <c r="A296" s="205" t="s">
        <v>586</v>
      </c>
      <c r="B296" s="205"/>
      <c r="C296" s="205"/>
      <c r="D296" s="204">
        <v>7240875.0199999996</v>
      </c>
      <c r="E296" s="216"/>
      <c r="F296" s="1092"/>
    </row>
    <row r="297" spans="1:6">
      <c r="A297" s="204" t="s">
        <v>587</v>
      </c>
      <c r="B297" s="204"/>
      <c r="C297" s="204"/>
      <c r="D297" s="204">
        <v>11.11</v>
      </c>
      <c r="E297" s="216"/>
      <c r="F297" s="1092"/>
    </row>
    <row r="298" spans="1:6">
      <c r="A298" s="205" t="s">
        <v>588</v>
      </c>
      <c r="B298" s="205"/>
      <c r="C298" s="205"/>
      <c r="D298" s="204">
        <v>286175.74</v>
      </c>
      <c r="E298" s="216"/>
      <c r="F298" s="1092"/>
    </row>
    <row r="299" spans="1:6">
      <c r="A299" s="204" t="s">
        <v>589</v>
      </c>
      <c r="B299" s="204"/>
      <c r="C299" s="204"/>
      <c r="D299" s="204">
        <v>314495.28000000003</v>
      </c>
      <c r="E299" s="216"/>
      <c r="F299" s="1092"/>
    </row>
    <row r="300" spans="1:6">
      <c r="A300" s="204" t="s">
        <v>590</v>
      </c>
      <c r="B300" s="204"/>
      <c r="C300" s="204"/>
      <c r="D300" s="204">
        <v>298752.86</v>
      </c>
      <c r="E300" s="216"/>
      <c r="F300" s="1092"/>
    </row>
    <row r="301" spans="1:6">
      <c r="A301" s="204" t="s">
        <v>591</v>
      </c>
      <c r="B301" s="204"/>
      <c r="C301" s="204"/>
      <c r="D301" s="204">
        <v>47676</v>
      </c>
      <c r="E301" s="216"/>
      <c r="F301" s="1092"/>
    </row>
    <row r="302" spans="1:6">
      <c r="A302" s="204" t="s">
        <v>592</v>
      </c>
      <c r="B302" s="204"/>
      <c r="C302" s="204"/>
      <c r="D302" s="204">
        <v>19043.3</v>
      </c>
      <c r="E302" s="216"/>
      <c r="F302" s="1092"/>
    </row>
    <row r="303" spans="1:6">
      <c r="A303" s="204" t="s">
        <v>593</v>
      </c>
      <c r="B303" s="204"/>
      <c r="C303" s="204"/>
      <c r="D303" s="204">
        <v>743.75</v>
      </c>
      <c r="E303" s="216"/>
      <c r="F303" s="1092"/>
    </row>
    <row r="304" spans="1:6">
      <c r="A304" s="204" t="s">
        <v>594</v>
      </c>
      <c r="B304" s="204"/>
      <c r="C304" s="204"/>
      <c r="D304" s="204">
        <v>122042.11</v>
      </c>
      <c r="E304" s="216"/>
      <c r="F304" s="1092"/>
    </row>
    <row r="305" spans="1:6">
      <c r="A305" s="80" t="s">
        <v>595</v>
      </c>
      <c r="B305" s="80"/>
      <c r="C305" s="80"/>
      <c r="D305" s="80">
        <v>1186216.7</v>
      </c>
      <c r="E305" s="230">
        <f>E307-E306</f>
        <v>40493339.699999988</v>
      </c>
      <c r="F305" s="1092"/>
    </row>
    <row r="306" spans="1:6">
      <c r="A306" s="204" t="s">
        <v>596</v>
      </c>
      <c r="B306" s="204"/>
      <c r="C306" s="204"/>
      <c r="D306" s="204">
        <v>69419.12</v>
      </c>
      <c r="E306" s="230">
        <f>D327</f>
        <v>4620849.9800000004</v>
      </c>
      <c r="F306" s="1092"/>
    </row>
    <row r="307" spans="1:6">
      <c r="A307" s="204" t="s">
        <v>597</v>
      </c>
      <c r="B307" s="204"/>
      <c r="C307" s="204"/>
      <c r="D307" s="204">
        <v>16957.41</v>
      </c>
      <c r="E307" s="230">
        <f>+D287+D288+D291+D292+D294+D295+D296+D297+D298+D299+D300+D301+D302+D304+D306+D307+D303+D293</f>
        <v>45114189.679999985</v>
      </c>
      <c r="F307" s="1092"/>
    </row>
    <row r="308" spans="1:6">
      <c r="A308" s="80" t="s">
        <v>598</v>
      </c>
      <c r="B308" s="80"/>
      <c r="C308" s="80"/>
      <c r="D308" s="80">
        <v>118056.68</v>
      </c>
      <c r="E308" s="216"/>
      <c r="F308" s="1092"/>
    </row>
    <row r="309" spans="1:6">
      <c r="A309" s="80" t="s">
        <v>599</v>
      </c>
      <c r="B309" s="80"/>
      <c r="C309" s="80"/>
      <c r="D309" s="80">
        <v>0</v>
      </c>
      <c r="E309" s="216"/>
      <c r="F309" s="1092"/>
    </row>
    <row r="310" spans="1:6">
      <c r="A310" s="80" t="s">
        <v>600</v>
      </c>
      <c r="B310" s="80"/>
      <c r="C310" s="80"/>
      <c r="D310" s="80">
        <v>9428</v>
      </c>
      <c r="E310" s="216"/>
      <c r="F310" s="1092"/>
    </row>
    <row r="311" spans="1:6">
      <c r="A311" s="80" t="s">
        <v>601</v>
      </c>
      <c r="B311" s="80"/>
      <c r="C311" s="80"/>
      <c r="D311" s="80">
        <v>54920</v>
      </c>
      <c r="E311" s="216"/>
      <c r="F311" s="1092"/>
    </row>
    <row r="312" spans="1:6">
      <c r="A312" s="80" t="s">
        <v>602</v>
      </c>
      <c r="B312" s="80"/>
      <c r="C312" s="80"/>
      <c r="D312" s="80">
        <v>440151</v>
      </c>
      <c r="E312" s="216"/>
      <c r="F312" s="1092"/>
    </row>
    <row r="313" spans="1:6">
      <c r="A313" s="80" t="s">
        <v>603</v>
      </c>
      <c r="B313" s="80"/>
      <c r="C313" s="80"/>
      <c r="D313" s="80">
        <v>3871915.55</v>
      </c>
      <c r="E313" s="216"/>
      <c r="F313" s="1092"/>
    </row>
    <row r="314" spans="1:6">
      <c r="A314" s="80" t="s">
        <v>604</v>
      </c>
      <c r="B314" s="80"/>
      <c r="C314" s="80"/>
      <c r="D314" s="80">
        <v>557809.97</v>
      </c>
      <c r="E314" s="216"/>
      <c r="F314" s="1092"/>
    </row>
    <row r="315" spans="1:6">
      <c r="A315" s="80" t="s">
        <v>605</v>
      </c>
      <c r="B315" s="80"/>
      <c r="C315" s="80"/>
      <c r="D315" s="80">
        <v>0</v>
      </c>
      <c r="E315" s="219">
        <f>E317-E316</f>
        <v>6447488.6799999997</v>
      </c>
      <c r="F315" s="1092"/>
    </row>
    <row r="316" spans="1:6">
      <c r="A316" s="80" t="s">
        <v>606</v>
      </c>
      <c r="B316" s="80"/>
      <c r="C316" s="80"/>
      <c r="D316" s="80">
        <v>38227.870000000003</v>
      </c>
      <c r="E316" s="219">
        <f>D329</f>
        <v>174468.37</v>
      </c>
      <c r="F316" s="1092"/>
    </row>
    <row r="317" spans="1:6">
      <c r="A317" s="80" t="s">
        <v>607</v>
      </c>
      <c r="B317" s="80"/>
      <c r="C317" s="80"/>
      <c r="D317" s="80">
        <v>345231.28</v>
      </c>
      <c r="E317" s="219">
        <f>SUM(D308:D317)+D305</f>
        <v>6621957.0499999998</v>
      </c>
      <c r="F317" s="1092"/>
    </row>
    <row r="318" spans="1:6">
      <c r="D318" s="99">
        <f>SUM(D242:D317)</f>
        <v>142968620.8600001</v>
      </c>
      <c r="E318" s="215">
        <f>SUM(E242:E317)-E317-E307-E270-E252</f>
        <v>142968620.85999992</v>
      </c>
      <c r="F318" s="1092"/>
    </row>
    <row r="319" spans="1:6">
      <c r="D319" s="99"/>
      <c r="E319" s="215"/>
    </row>
    <row r="320" spans="1:6">
      <c r="A320" s="77" t="s">
        <v>706</v>
      </c>
      <c r="D320" s="81"/>
    </row>
    <row r="321" spans="1:8">
      <c r="A321" s="269" t="str">
        <f>+'R'!A126</f>
        <v>4410200    PRIJEVOZ NA SLUŽB.PUTU-U ZEMLJI OD POV.</v>
      </c>
      <c r="B321" s="1005">
        <v>1000</v>
      </c>
      <c r="C321" s="271">
        <v>250004.8</v>
      </c>
      <c r="D321" s="214"/>
      <c r="E321"/>
      <c r="F321" s="269" t="s">
        <v>526</v>
      </c>
      <c r="G321" s="270">
        <v>1000</v>
      </c>
      <c r="H321" s="271">
        <v>321747.71000000002</v>
      </c>
    </row>
    <row r="322" spans="1:8">
      <c r="A322" s="389" t="s">
        <v>423</v>
      </c>
      <c r="B322" s="1006"/>
      <c r="C322" s="390">
        <f>+C321</f>
        <v>250004.8</v>
      </c>
      <c r="D322" s="228">
        <f>C322</f>
        <v>250004.8</v>
      </c>
      <c r="E322"/>
      <c r="F322" s="1012" t="s">
        <v>99</v>
      </c>
      <c r="G322" s="207">
        <v>4050</v>
      </c>
      <c r="H322" s="517">
        <v>13890.28</v>
      </c>
    </row>
    <row r="323" spans="1:8">
      <c r="A323" s="272" t="str">
        <f>+'R'!A132</f>
        <v>4421000    PRIJEVOZ NA RAD I S RADA (P-2 KARTE)</v>
      </c>
      <c r="B323" s="985">
        <f>+B321</f>
        <v>1000</v>
      </c>
      <c r="C323" s="250">
        <f>+'R'!D132</f>
        <v>2422799.7599999998</v>
      </c>
      <c r="D323" s="214"/>
      <c r="E323"/>
      <c r="F323" s="1013"/>
      <c r="G323" s="1014"/>
      <c r="H323" s="1015">
        <v>335637.99000000005</v>
      </c>
    </row>
    <row r="324" spans="1:8">
      <c r="A324" s="252" t="str">
        <f>+A322</f>
        <v>2021.</v>
      </c>
      <c r="B324" s="987"/>
      <c r="C324" s="106">
        <f>+C323</f>
        <v>2422799.7599999998</v>
      </c>
      <c r="D324" s="388">
        <f>C324</f>
        <v>2422799.7599999998</v>
      </c>
      <c r="E324"/>
      <c r="F324" s="272" t="s">
        <v>538</v>
      </c>
      <c r="G324" s="249">
        <v>1000</v>
      </c>
      <c r="H324" s="250">
        <v>1975293.43</v>
      </c>
    </row>
    <row r="325" spans="1:8">
      <c r="A325" s="273" t="str">
        <f>+'[2]ostali troškovi 31.12.2019.'!$B$35</f>
        <v>Vodoprivredna naknada i sl. - povezana društva</v>
      </c>
      <c r="B325" s="1007">
        <v>400002</v>
      </c>
      <c r="C325" s="275">
        <v>0</v>
      </c>
      <c r="D325" s="214"/>
      <c r="E325"/>
      <c r="F325" s="252" t="s">
        <v>99</v>
      </c>
      <c r="G325" s="253"/>
      <c r="H325" s="106">
        <v>1975293.43</v>
      </c>
    </row>
    <row r="326" spans="1:8">
      <c r="A326" s="276" t="str">
        <f>+A324</f>
        <v>2021.</v>
      </c>
      <c r="B326" s="1008">
        <v>400006</v>
      </c>
      <c r="C326" s="278">
        <v>4620849.9800000004</v>
      </c>
      <c r="D326" s="214"/>
      <c r="E326"/>
      <c r="F326" s="1016" t="s">
        <v>586</v>
      </c>
      <c r="G326" s="274">
        <v>400006</v>
      </c>
      <c r="H326" s="275">
        <v>4359429.09</v>
      </c>
    </row>
    <row r="327" spans="1:8">
      <c r="A327" s="279"/>
      <c r="B327" s="1009"/>
      <c r="C327" s="281">
        <f>+C325+C326</f>
        <v>4620849.9800000004</v>
      </c>
      <c r="D327" s="387">
        <f>C327</f>
        <v>4620849.9800000004</v>
      </c>
      <c r="E327"/>
      <c r="F327" s="1017" t="s">
        <v>99</v>
      </c>
      <c r="G327" s="280"/>
      <c r="H327" s="281">
        <v>4359429.09</v>
      </c>
    </row>
    <row r="328" spans="1:8">
      <c r="A328" s="282" t="str">
        <f>+'[2]ostali troškovi 31.12.2019.'!$B$38</f>
        <v>Ostali troškovi - povezana društva</v>
      </c>
      <c r="B328" s="1010">
        <v>1000</v>
      </c>
      <c r="C328" s="284">
        <v>174468.37</v>
      </c>
      <c r="D328" s="214"/>
      <c r="E328"/>
      <c r="F328" s="1016" t="s">
        <v>588</v>
      </c>
      <c r="G328" s="274">
        <v>400006</v>
      </c>
      <c r="H328" s="275">
        <v>266187.15999999997</v>
      </c>
    </row>
    <row r="329" spans="1:8">
      <c r="A329" s="285"/>
      <c r="B329" s="1011"/>
      <c r="C329" s="291">
        <f>C328</f>
        <v>174468.37</v>
      </c>
      <c r="D329" s="219">
        <f>C329</f>
        <v>174468.37</v>
      </c>
      <c r="E329"/>
      <c r="F329" s="1017" t="s">
        <v>99</v>
      </c>
      <c r="G329" s="280"/>
      <c r="H329" s="281">
        <v>266187.15999999997</v>
      </c>
    </row>
    <row r="330" spans="1:8">
      <c r="A330" s="100" t="str">
        <f>+A326</f>
        <v>2021.</v>
      </c>
      <c r="B330" s="985">
        <v>2000</v>
      </c>
      <c r="C330" s="250">
        <v>1400</v>
      </c>
      <c r="D330" s="214"/>
      <c r="E330"/>
      <c r="F330" s="282" t="s">
        <v>549</v>
      </c>
      <c r="G330" s="283">
        <v>1000</v>
      </c>
      <c r="H330" s="284">
        <v>147372.37</v>
      </c>
    </row>
    <row r="331" spans="1:8">
      <c r="A331" s="102"/>
      <c r="B331" s="986">
        <v>400003</v>
      </c>
      <c r="C331" s="251">
        <v>161416.92000000001</v>
      </c>
      <c r="D331" s="214"/>
      <c r="E331"/>
      <c r="F331" s="1018" t="s">
        <v>99</v>
      </c>
      <c r="G331" s="79">
        <v>2000</v>
      </c>
      <c r="H331" s="547">
        <v>1600</v>
      </c>
    </row>
    <row r="332" spans="1:8">
      <c r="A332" s="102"/>
      <c r="B332" s="986">
        <v>400005</v>
      </c>
      <c r="C332" s="287">
        <v>20</v>
      </c>
      <c r="D332" s="214"/>
      <c r="E332"/>
      <c r="F332" s="1018"/>
      <c r="G332" s="79">
        <v>400003</v>
      </c>
      <c r="H332" s="547">
        <v>213616</v>
      </c>
    </row>
    <row r="333" spans="1:8">
      <c r="A333" s="288"/>
      <c r="B333" s="986">
        <v>400006</v>
      </c>
      <c r="C333" s="251">
        <v>66429.2</v>
      </c>
      <c r="D333" s="214"/>
      <c r="E333"/>
      <c r="F333" s="1018"/>
      <c r="G333" s="79">
        <v>400005</v>
      </c>
      <c r="H333" s="1019">
        <v>165</v>
      </c>
    </row>
    <row r="334" spans="1:8">
      <c r="A334" s="102"/>
      <c r="B334" s="986">
        <v>400015</v>
      </c>
      <c r="C334" s="287">
        <v>480</v>
      </c>
      <c r="D334" s="214"/>
      <c r="E334"/>
      <c r="F334" s="1018"/>
      <c r="G334" s="79">
        <v>400015</v>
      </c>
      <c r="H334" s="1019">
        <v>320</v>
      </c>
    </row>
    <row r="335" spans="1:8">
      <c r="A335" s="102"/>
      <c r="B335" s="87"/>
      <c r="C335" s="289">
        <f>SUM(C330:C334)</f>
        <v>229746.12</v>
      </c>
      <c r="D335" s="214"/>
      <c r="E335"/>
      <c r="F335" s="1020"/>
      <c r="G335" s="286"/>
      <c r="H335" s="1021">
        <v>363073.37</v>
      </c>
    </row>
    <row r="336" spans="1:8">
      <c r="A336" s="1089" t="s">
        <v>578</v>
      </c>
      <c r="B336" s="1090"/>
      <c r="C336" s="106">
        <f>+C335+C327+C324+C322</f>
        <v>7523400.6600000001</v>
      </c>
      <c r="D336" s="391">
        <f>C336</f>
        <v>7523400.6600000001</v>
      </c>
      <c r="E336"/>
      <c r="F336" s="1093" t="s">
        <v>986</v>
      </c>
      <c r="G336" s="1094"/>
      <c r="H336" s="237">
        <v>7299621.04</v>
      </c>
    </row>
    <row r="337" spans="1:5">
      <c r="D337" s="99"/>
      <c r="E337" s="215"/>
    </row>
    <row r="339" spans="1:5">
      <c r="A339" s="77" t="s">
        <v>899</v>
      </c>
      <c r="B339" s="1004" t="s">
        <v>99</v>
      </c>
      <c r="D339" s="190" t="s">
        <v>423</v>
      </c>
      <c r="E339" s="227"/>
    </row>
    <row r="340" spans="1:5">
      <c r="A340" s="399" t="s">
        <v>747</v>
      </c>
      <c r="B340" s="399">
        <v>540071.06000000006</v>
      </c>
      <c r="C340" s="214"/>
      <c r="D340" s="399">
        <v>138501.76000000001</v>
      </c>
    </row>
    <row r="341" spans="1:5">
      <c r="A341" s="399" t="s">
        <v>748</v>
      </c>
      <c r="B341" s="399"/>
      <c r="C341" s="405">
        <f>SUM(B340:B341)</f>
        <v>540071.06000000006</v>
      </c>
      <c r="D341" s="399">
        <v>0</v>
      </c>
      <c r="E341" s="405">
        <f>D341+D340</f>
        <v>138501.76000000001</v>
      </c>
    </row>
    <row r="342" spans="1:5">
      <c r="A342" s="400" t="s">
        <v>749</v>
      </c>
      <c r="B342" s="401">
        <v>2855.42</v>
      </c>
      <c r="C342" s="214"/>
      <c r="D342" s="401">
        <v>43.33</v>
      </c>
    </row>
    <row r="343" spans="1:5">
      <c r="A343" s="400" t="s">
        <v>750</v>
      </c>
      <c r="B343" s="401">
        <v>1478920.47</v>
      </c>
      <c r="C343" s="214"/>
      <c r="D343" s="401">
        <v>74469.08</v>
      </c>
    </row>
    <row r="344" spans="1:5">
      <c r="A344" s="400" t="s">
        <v>751</v>
      </c>
      <c r="B344" s="401"/>
      <c r="C344" s="406">
        <f>SUM(B342:B344)</f>
        <v>1481775.89</v>
      </c>
      <c r="D344" s="401">
        <v>0</v>
      </c>
      <c r="E344" s="406">
        <f>SUM(D342:D344)</f>
        <v>74512.41</v>
      </c>
    </row>
    <row r="345" spans="1:5">
      <c r="A345" s="87" t="s">
        <v>752</v>
      </c>
      <c r="B345" s="87">
        <v>1108071.6200000001</v>
      </c>
      <c r="C345" s="214"/>
      <c r="D345" s="87">
        <v>1154998.03</v>
      </c>
    </row>
    <row r="346" spans="1:5">
      <c r="A346" s="87" t="s">
        <v>753</v>
      </c>
      <c r="B346" s="87">
        <v>912145.36</v>
      </c>
      <c r="C346" s="214"/>
      <c r="D346" s="87">
        <v>911559.18</v>
      </c>
    </row>
    <row r="347" spans="1:5">
      <c r="A347" s="87" t="s">
        <v>754</v>
      </c>
      <c r="B347" s="87">
        <v>1154565.28</v>
      </c>
      <c r="C347" s="214"/>
      <c r="D347" s="87">
        <v>160321.92000000001</v>
      </c>
    </row>
    <row r="348" spans="1:5">
      <c r="A348" s="87" t="s">
        <v>755</v>
      </c>
      <c r="B348" s="87">
        <v>195973.8</v>
      </c>
      <c r="C348" s="220"/>
      <c r="D348" s="87">
        <v>107541.34</v>
      </c>
      <c r="E348" s="220">
        <f>E350-E349</f>
        <v>1596684.4599999995</v>
      </c>
    </row>
    <row r="349" spans="1:5">
      <c r="A349" s="87" t="s">
        <v>756</v>
      </c>
      <c r="B349" s="87">
        <v>423663.93</v>
      </c>
      <c r="C349" s="220">
        <f>C351-C350</f>
        <v>7872401.459999999</v>
      </c>
      <c r="D349" s="87">
        <v>482346.41</v>
      </c>
      <c r="E349" s="220">
        <f>C377</f>
        <v>2385880.31</v>
      </c>
    </row>
    <row r="350" spans="1:5">
      <c r="A350" s="87" t="s">
        <v>757</v>
      </c>
      <c r="B350" s="87">
        <v>6235473.0300000003</v>
      </c>
      <c r="C350" s="220">
        <f>H376</f>
        <v>2162924.56</v>
      </c>
      <c r="D350" s="87">
        <v>1165797.8899999999</v>
      </c>
      <c r="E350" s="220">
        <f>SUM(D345:D350)</f>
        <v>3982564.7699999996</v>
      </c>
    </row>
    <row r="351" spans="1:5">
      <c r="A351" s="87"/>
      <c r="B351" s="87">
        <v>5433</v>
      </c>
      <c r="C351" s="220">
        <f>SUM(B345:B351)</f>
        <v>10035326.02</v>
      </c>
      <c r="D351" s="87"/>
      <c r="E351" s="220"/>
    </row>
    <row r="352" spans="1:5">
      <c r="A352" s="403" t="s">
        <v>758</v>
      </c>
      <c r="B352" s="403">
        <v>79245.61</v>
      </c>
      <c r="C352" s="214"/>
      <c r="D352" s="403">
        <v>99356.17</v>
      </c>
    </row>
    <row r="353" spans="1:6">
      <c r="A353" s="403" t="s">
        <v>759</v>
      </c>
      <c r="B353" s="403">
        <v>2664532.7000000002</v>
      </c>
      <c r="C353" s="407">
        <f>SUM(B352:B353)</f>
        <v>2743778.31</v>
      </c>
      <c r="D353" s="403">
        <v>2332366.08</v>
      </c>
      <c r="E353" s="407">
        <f>D353+D352</f>
        <v>2431722.25</v>
      </c>
    </row>
    <row r="354" spans="1:6">
      <c r="A354" s="91" t="s">
        <v>760</v>
      </c>
      <c r="B354" s="92">
        <v>1382372.34</v>
      </c>
      <c r="C354" s="223">
        <f>C356-C355</f>
        <v>147060</v>
      </c>
      <c r="D354" s="92">
        <v>1464980.55</v>
      </c>
      <c r="E354" s="223">
        <f>D354</f>
        <v>1464980.55</v>
      </c>
    </row>
    <row r="355" spans="1:6">
      <c r="A355" s="91" t="s">
        <v>761</v>
      </c>
      <c r="B355" s="92">
        <v>122151</v>
      </c>
      <c r="C355" s="223">
        <f>H379</f>
        <v>1357463.34</v>
      </c>
      <c r="D355" s="92">
        <v>10465.290000000001</v>
      </c>
      <c r="E355" s="223">
        <f>D355</f>
        <v>10465.290000000001</v>
      </c>
    </row>
    <row r="356" spans="1:6">
      <c r="A356" s="91"/>
      <c r="B356" s="92"/>
      <c r="C356" s="223">
        <f>SUM(B354:B355)</f>
        <v>1504523.34</v>
      </c>
      <c r="D356" s="92"/>
      <c r="E356" s="223"/>
    </row>
    <row r="357" spans="1:6">
      <c r="A357" s="404" t="s">
        <v>762</v>
      </c>
      <c r="B357" s="404">
        <v>536312.36</v>
      </c>
      <c r="C357" s="214"/>
      <c r="D357" s="404">
        <v>3395402.57</v>
      </c>
    </row>
    <row r="358" spans="1:6">
      <c r="A358" s="404" t="s">
        <v>763</v>
      </c>
      <c r="B358" s="404">
        <v>2629470.46</v>
      </c>
      <c r="C358" s="214"/>
      <c r="D358" s="404">
        <v>9540.32</v>
      </c>
    </row>
    <row r="359" spans="1:6">
      <c r="A359" s="87" t="s">
        <v>764</v>
      </c>
      <c r="B359" s="87">
        <v>2130.88</v>
      </c>
      <c r="C359" s="214"/>
      <c r="D359" s="87">
        <v>0</v>
      </c>
    </row>
    <row r="360" spans="1:6">
      <c r="A360" s="87" t="s">
        <v>765</v>
      </c>
      <c r="B360" s="87"/>
      <c r="C360" s="220">
        <f>SUM(B359:B360)</f>
        <v>2130.88</v>
      </c>
      <c r="D360" s="87">
        <v>0</v>
      </c>
      <c r="E360" s="220">
        <f>D360+D359</f>
        <v>0</v>
      </c>
    </row>
    <row r="361" spans="1:6">
      <c r="A361" s="1022" t="s">
        <v>987</v>
      </c>
      <c r="B361" s="1023">
        <v>9023775.4000000004</v>
      </c>
      <c r="C361" s="1024">
        <f>B361</f>
        <v>9023775.4000000004</v>
      </c>
      <c r="D361" s="1023">
        <v>5364.61</v>
      </c>
      <c r="E361" s="290">
        <f>D361</f>
        <v>5364.61</v>
      </c>
    </row>
    <row r="362" spans="1:6">
      <c r="A362" s="404" t="s">
        <v>766</v>
      </c>
      <c r="B362" s="404">
        <v>2685.13</v>
      </c>
      <c r="C362" s="214"/>
      <c r="D362" s="404"/>
    </row>
    <row r="363" spans="1:6">
      <c r="A363" s="402" t="s">
        <v>767</v>
      </c>
      <c r="B363" s="402">
        <v>5212368.8099999996</v>
      </c>
      <c r="C363" s="408">
        <f>B363</f>
        <v>5212368.8099999996</v>
      </c>
      <c r="D363" s="402">
        <v>2280419.37</v>
      </c>
      <c r="E363" s="408">
        <v>2280419.37</v>
      </c>
    </row>
    <row r="364" spans="1:6">
      <c r="A364" s="404" t="s">
        <v>768</v>
      </c>
      <c r="B364" s="404">
        <v>77323</v>
      </c>
      <c r="C364" s="214"/>
      <c r="D364" s="404">
        <v>66415</v>
      </c>
    </row>
    <row r="365" spans="1:6">
      <c r="A365" s="404" t="s">
        <v>769</v>
      </c>
      <c r="B365" s="404">
        <v>16408.599999999999</v>
      </c>
      <c r="C365" s="214"/>
      <c r="D365" s="404">
        <v>5678.52</v>
      </c>
    </row>
    <row r="366" spans="1:6">
      <c r="A366" s="404" t="s">
        <v>770</v>
      </c>
      <c r="B366" s="404">
        <v>1025.94</v>
      </c>
      <c r="C366" s="214"/>
      <c r="D366" s="404">
        <v>8.6199999999999992</v>
      </c>
    </row>
    <row r="367" spans="1:6">
      <c r="A367" s="404" t="s">
        <v>771</v>
      </c>
      <c r="B367" s="404">
        <v>31121.42</v>
      </c>
      <c r="C367" s="409">
        <f>C369-C368</f>
        <v>559657.83999999985</v>
      </c>
      <c r="D367" s="404">
        <v>5778.4</v>
      </c>
      <c r="E367" s="409">
        <f>E369-E368</f>
        <v>2282148.21</v>
      </c>
      <c r="F367">
        <v>559657.83999999985</v>
      </c>
    </row>
    <row r="368" spans="1:6">
      <c r="A368" s="404" t="s">
        <v>772</v>
      </c>
      <c r="B368" s="404">
        <v>318.93</v>
      </c>
      <c r="C368" s="409">
        <f>H389</f>
        <v>2736979.67</v>
      </c>
      <c r="D368" s="404">
        <v>139.84</v>
      </c>
      <c r="E368" s="409">
        <f>C386</f>
        <v>1231428.97</v>
      </c>
      <c r="F368">
        <v>2736979.67</v>
      </c>
    </row>
    <row r="369" spans="1:9">
      <c r="A369" s="404" t="s">
        <v>773</v>
      </c>
      <c r="B369" s="404">
        <v>1971.67</v>
      </c>
      <c r="C369" s="409">
        <f>SUM(B364:B369,B362,B357:B358)</f>
        <v>3296637.51</v>
      </c>
      <c r="D369" s="404">
        <v>25249.3</v>
      </c>
      <c r="E369" s="409">
        <f>SUM(D364:D369)+D361+SUM(D357:D358)</f>
        <v>3513577.1799999997</v>
      </c>
    </row>
    <row r="370" spans="1:9">
      <c r="B370" s="99">
        <f t="shared" ref="B370:C370" si="6">SUM(B340:B369)</f>
        <v>33840387.219999999</v>
      </c>
      <c r="C370" s="99">
        <f t="shared" si="6"/>
        <v>48676874.089999996</v>
      </c>
      <c r="D370" s="99">
        <f>SUM(D340:D369)</f>
        <v>13896743.579999998</v>
      </c>
      <c r="E370" s="99">
        <f>SUM(E340:E369)</f>
        <v>21398250.139999997</v>
      </c>
      <c r="F370" s="81"/>
      <c r="G370" s="99"/>
    </row>
    <row r="372" spans="1:9">
      <c r="A372" s="272" t="str">
        <f>+A365</f>
        <v>7396000    ISPRAVAK NOMINALNE VRIJEDNOSTI DIONICA</v>
      </c>
      <c r="B372" s="967">
        <v>1000</v>
      </c>
      <c r="C372" s="250">
        <v>334978.7</v>
      </c>
      <c r="D372" s="214"/>
      <c r="F372" s="87" t="s">
        <v>743</v>
      </c>
      <c r="G372" s="86">
        <v>1000</v>
      </c>
      <c r="H372" s="87">
        <v>1206461.1200000001</v>
      </c>
    </row>
    <row r="373" spans="1:9">
      <c r="A373" s="102" t="s">
        <v>423</v>
      </c>
      <c r="B373" s="87">
        <v>2000</v>
      </c>
      <c r="C373" s="251">
        <v>147746.82999999999</v>
      </c>
      <c r="D373" s="214"/>
      <c r="F373" s="86" t="s">
        <v>99</v>
      </c>
      <c r="G373" s="86">
        <v>2000</v>
      </c>
      <c r="H373" s="87">
        <v>139483.48000000001</v>
      </c>
    </row>
    <row r="374" spans="1:9">
      <c r="A374" s="102"/>
      <c r="B374" s="87">
        <v>3010</v>
      </c>
      <c r="C374" s="251">
        <v>439138.64</v>
      </c>
      <c r="D374" s="214"/>
      <c r="F374" s="86"/>
      <c r="G374" s="86">
        <v>3010</v>
      </c>
      <c r="H374" s="87">
        <v>4772.91</v>
      </c>
    </row>
    <row r="375" spans="1:9">
      <c r="A375" s="102"/>
      <c r="B375" s="87">
        <v>4050</v>
      </c>
      <c r="C375" s="251">
        <v>1463745.82</v>
      </c>
      <c r="D375" s="214"/>
      <c r="F375" s="86"/>
      <c r="G375" s="86">
        <v>4050</v>
      </c>
      <c r="H375" s="87">
        <v>812207.05</v>
      </c>
    </row>
    <row r="376" spans="1:9">
      <c r="A376" s="102"/>
      <c r="B376" s="87">
        <v>400005</v>
      </c>
      <c r="C376" s="251">
        <v>270.32</v>
      </c>
      <c r="D376" s="214"/>
      <c r="F376" s="86"/>
      <c r="G376" s="86"/>
      <c r="H376" s="410">
        <v>2162924.56</v>
      </c>
      <c r="I376" s="1034">
        <f>H376</f>
        <v>2162924.56</v>
      </c>
    </row>
    <row r="377" spans="1:9">
      <c r="A377" s="252"/>
      <c r="B377" s="968"/>
      <c r="C377" s="106">
        <f>SUM(C372:C376)</f>
        <v>2385880.31</v>
      </c>
      <c r="D377" s="220">
        <f>C377</f>
        <v>2385880.31</v>
      </c>
      <c r="E377" s="216"/>
      <c r="F377" s="91" t="s">
        <v>740</v>
      </c>
      <c r="G377" s="91">
        <v>1000</v>
      </c>
      <c r="H377" s="92">
        <v>1048351.43</v>
      </c>
      <c r="I377" s="925"/>
    </row>
    <row r="378" spans="1:9">
      <c r="A378" s="234" t="str">
        <f>+A361</f>
        <v>7393000    VRIJEDNOST ZASTARIJELIH ZALIHA (OPOREZI</v>
      </c>
      <c r="B378" s="971">
        <v>1000</v>
      </c>
      <c r="C378" s="261">
        <v>789825.95</v>
      </c>
      <c r="D378" s="214"/>
      <c r="F378" s="91" t="s">
        <v>99</v>
      </c>
      <c r="G378" s="91">
        <v>2000</v>
      </c>
      <c r="H378" s="92">
        <v>309111.90999999997</v>
      </c>
      <c r="I378" s="925"/>
    </row>
    <row r="379" spans="1:9" ht="15" thickBot="1">
      <c r="A379" s="411" t="str">
        <f>+A373</f>
        <v>2021.</v>
      </c>
      <c r="B379" s="92">
        <v>2000</v>
      </c>
      <c r="C379" s="412">
        <v>675154.6</v>
      </c>
      <c r="D379" s="214"/>
      <c r="F379" s="91"/>
      <c r="G379" s="91"/>
      <c r="H379" s="997">
        <v>1357463.34</v>
      </c>
      <c r="I379" s="1035">
        <f>H379</f>
        <v>1357463.34</v>
      </c>
    </row>
    <row r="380" spans="1:9" ht="15" thickTop="1">
      <c r="A380" s="262"/>
      <c r="B380" s="972"/>
      <c r="C380" s="264">
        <f>+C378+C379</f>
        <v>1464980.5499999998</v>
      </c>
      <c r="D380" s="223">
        <f>C380</f>
        <v>1464980.5499999998</v>
      </c>
      <c r="E380" s="216"/>
      <c r="F380" s="1025" t="s">
        <v>742</v>
      </c>
      <c r="G380" s="1026">
        <v>1000</v>
      </c>
      <c r="H380" s="1027">
        <v>789825.95</v>
      </c>
      <c r="I380" s="925"/>
    </row>
    <row r="381" spans="1:9">
      <c r="A381" s="414" t="str">
        <f>+A368</f>
        <v>7399010    RASHODI OD RAZLIKA NASTALIH PRILIKOM ZA</v>
      </c>
      <c r="B381" s="978">
        <v>1000</v>
      </c>
      <c r="C381" s="415">
        <v>1208892.67</v>
      </c>
      <c r="D381" s="214"/>
      <c r="F381" s="1028" t="s">
        <v>423</v>
      </c>
      <c r="G381" s="91">
        <v>2000</v>
      </c>
      <c r="H381" s="1029">
        <v>675154.6</v>
      </c>
      <c r="I381" s="925"/>
    </row>
    <row r="382" spans="1:9" ht="15" thickBot="1">
      <c r="A382" s="416" t="str">
        <f>+A373</f>
        <v>2021.</v>
      </c>
      <c r="B382" s="404">
        <v>2000</v>
      </c>
      <c r="C382" s="417">
        <v>21156</v>
      </c>
      <c r="D382" s="214"/>
      <c r="F382" s="1030"/>
      <c r="G382" s="1030"/>
      <c r="H382" s="1031">
        <v>1464980.5499999998</v>
      </c>
      <c r="I382" s="1036">
        <f>H382</f>
        <v>1464980.5499999998</v>
      </c>
    </row>
    <row r="383" spans="1:9" ht="15" thickTop="1">
      <c r="A383" s="416"/>
      <c r="B383" s="404">
        <v>3010</v>
      </c>
      <c r="C383" s="417">
        <v>7.0000000000000007E-2</v>
      </c>
      <c r="D383" s="214"/>
      <c r="F383" s="404" t="s">
        <v>746</v>
      </c>
      <c r="G383" s="413">
        <v>1000</v>
      </c>
      <c r="H383" s="404">
        <v>23367.54</v>
      </c>
      <c r="I383" s="925"/>
    </row>
    <row r="384" spans="1:9">
      <c r="A384" s="416"/>
      <c r="B384" s="404">
        <v>4050</v>
      </c>
      <c r="C384" s="417">
        <v>0.03</v>
      </c>
      <c r="D384" s="214"/>
      <c r="F384" s="413" t="s">
        <v>99</v>
      </c>
      <c r="G384" s="413">
        <v>2000</v>
      </c>
      <c r="H384" s="404">
        <v>2654660.02</v>
      </c>
      <c r="I384" s="925"/>
    </row>
    <row r="385" spans="1:9">
      <c r="A385" s="416"/>
      <c r="B385" s="404">
        <v>400015</v>
      </c>
      <c r="C385" s="417">
        <v>1380.2</v>
      </c>
      <c r="D385" s="214"/>
      <c r="F385" s="413"/>
      <c r="G385" s="413">
        <v>4050</v>
      </c>
      <c r="H385" s="1032">
        <v>-24.93</v>
      </c>
      <c r="I385" s="925"/>
    </row>
    <row r="386" spans="1:9">
      <c r="A386" s="418"/>
      <c r="B386" s="979"/>
      <c r="C386" s="419">
        <f>SUM(C381:C385)</f>
        <v>1231428.97</v>
      </c>
      <c r="D386" s="409">
        <f>C386</f>
        <v>1231428.97</v>
      </c>
      <c r="E386" s="216"/>
      <c r="F386" s="413"/>
      <c r="G386" s="413">
        <v>400006</v>
      </c>
      <c r="H386" s="404">
        <v>5812.71</v>
      </c>
      <c r="I386" s="925"/>
    </row>
    <row r="387" spans="1:9">
      <c r="A387" s="1091" t="s">
        <v>774</v>
      </c>
      <c r="B387" s="1091"/>
      <c r="C387" s="410">
        <f>+C377+C380+C386</f>
        <v>5082289.83</v>
      </c>
      <c r="D387" s="214"/>
      <c r="F387" s="413"/>
      <c r="G387" s="413">
        <v>400014</v>
      </c>
      <c r="H387" s="404">
        <v>10</v>
      </c>
      <c r="I387" s="925"/>
    </row>
    <row r="388" spans="1:9">
      <c r="F388" s="413"/>
      <c r="G388" s="413">
        <v>400015</v>
      </c>
      <c r="H388" s="404">
        <v>53154.33</v>
      </c>
      <c r="I388" s="925"/>
    </row>
    <row r="389" spans="1:9">
      <c r="F389" s="413"/>
      <c r="G389" s="413"/>
      <c r="H389" s="1033">
        <v>2736979.67</v>
      </c>
      <c r="I389" s="1037">
        <f>H389</f>
        <v>2736979.67</v>
      </c>
    </row>
    <row r="390" spans="1:9">
      <c r="F390" s="1091" t="s">
        <v>988</v>
      </c>
      <c r="G390" s="1091"/>
      <c r="H390" s="410">
        <v>6257367.5700000003</v>
      </c>
      <c r="I390" s="925"/>
    </row>
    <row r="393" spans="1:9">
      <c r="A393" s="77" t="s">
        <v>900</v>
      </c>
      <c r="B393" s="924" t="s">
        <v>99</v>
      </c>
      <c r="C393" s="924"/>
      <c r="D393" s="78">
        <v>2021</v>
      </c>
    </row>
    <row r="394" spans="1:9">
      <c r="A394" s="421" t="s">
        <v>683</v>
      </c>
      <c r="B394" s="980"/>
      <c r="C394" s="214"/>
      <c r="D394" s="422"/>
    </row>
    <row r="395" spans="1:9">
      <c r="A395" s="423" t="s">
        <v>684</v>
      </c>
      <c r="B395" s="981"/>
      <c r="C395" s="214"/>
      <c r="D395" s="424"/>
    </row>
    <row r="396" spans="1:9">
      <c r="A396" s="425" t="s">
        <v>685</v>
      </c>
      <c r="B396" s="426">
        <v>0.16</v>
      </c>
      <c r="C396" s="214"/>
      <c r="D396" s="427">
        <v>210335.73</v>
      </c>
    </row>
    <row r="397" spans="1:9">
      <c r="A397" s="428"/>
      <c r="B397" s="429">
        <f>SUM(B396)</f>
        <v>0.16</v>
      </c>
      <c r="C397" s="420">
        <f>B397</f>
        <v>0.16</v>
      </c>
      <c r="D397" s="430">
        <f>+D396</f>
        <v>210335.73</v>
      </c>
      <c r="E397" s="420">
        <f>D397</f>
        <v>210335.73</v>
      </c>
    </row>
    <row r="398" spans="1:9">
      <c r="A398" s="432" t="s">
        <v>686</v>
      </c>
      <c r="B398" s="967"/>
      <c r="C398" s="214"/>
      <c r="D398" s="433"/>
    </row>
    <row r="399" spans="1:9">
      <c r="A399" s="102" t="s">
        <v>687</v>
      </c>
      <c r="B399" s="87">
        <v>1100179.3500000001</v>
      </c>
      <c r="C399" s="214"/>
      <c r="D399" s="251">
        <v>1286607.1200000001</v>
      </c>
    </row>
    <row r="400" spans="1:9">
      <c r="A400" s="102" t="s">
        <v>688</v>
      </c>
      <c r="B400" s="87">
        <v>0.26</v>
      </c>
      <c r="C400" s="214"/>
      <c r="D400" s="251">
        <v>2322049</v>
      </c>
    </row>
    <row r="401" spans="1:5">
      <c r="A401" s="102" t="s">
        <v>689</v>
      </c>
      <c r="B401" s="87">
        <v>6021902.4100000001</v>
      </c>
      <c r="C401" s="214"/>
      <c r="D401" s="251">
        <v>0</v>
      </c>
    </row>
    <row r="402" spans="1:5">
      <c r="A402" s="102" t="s">
        <v>690</v>
      </c>
      <c r="B402" s="87">
        <v>698724.43</v>
      </c>
      <c r="C402" s="214"/>
      <c r="D402" s="251">
        <v>929823.28</v>
      </c>
    </row>
    <row r="403" spans="1:5">
      <c r="A403" s="252"/>
      <c r="B403" s="434">
        <f>SUM(B399:B402)</f>
        <v>7820806.4500000002</v>
      </c>
      <c r="C403" s="220">
        <f>B403</f>
        <v>7820806.4500000002</v>
      </c>
      <c r="D403" s="106">
        <f>SUM(D399:D402)</f>
        <v>4538479.4000000004</v>
      </c>
      <c r="E403" s="220">
        <f>D403</f>
        <v>4538479.4000000004</v>
      </c>
    </row>
    <row r="404" spans="1:5">
      <c r="A404" s="436" t="s">
        <v>691</v>
      </c>
      <c r="B404" s="982"/>
      <c r="C404" s="214"/>
      <c r="D404" s="437"/>
    </row>
    <row r="405" spans="1:5">
      <c r="A405" s="438" t="s">
        <v>692</v>
      </c>
      <c r="B405" s="206">
        <v>327985.86</v>
      </c>
      <c r="C405" s="214"/>
      <c r="D405" s="439">
        <v>209239.48</v>
      </c>
    </row>
    <row r="406" spans="1:5">
      <c r="A406" s="438" t="s">
        <v>693</v>
      </c>
      <c r="B406" s="206">
        <v>1254266.6399999999</v>
      </c>
      <c r="C406" s="214"/>
      <c r="D406" s="439">
        <v>2450897.13</v>
      </c>
    </row>
    <row r="407" spans="1:5">
      <c r="A407" s="438" t="s">
        <v>694</v>
      </c>
      <c r="B407" s="206">
        <v>27176.25</v>
      </c>
      <c r="C407" s="214"/>
      <c r="D407" s="439">
        <v>182113.78</v>
      </c>
    </row>
    <row r="408" spans="1:5">
      <c r="A408" s="210" t="s">
        <v>989</v>
      </c>
      <c r="B408" s="206">
        <v>45.51</v>
      </c>
      <c r="C408" s="214"/>
      <c r="D408" s="439"/>
    </row>
    <row r="409" spans="1:5">
      <c r="A409" s="440"/>
      <c r="B409" s="441">
        <f>SUM(B405:B408)</f>
        <v>1609474.26</v>
      </c>
      <c r="C409" s="435">
        <f>B409</f>
        <v>1609474.26</v>
      </c>
      <c r="D409" s="442">
        <f>SUM(D405:D407)</f>
        <v>2842250.3899999997</v>
      </c>
      <c r="E409" s="435">
        <f>D409</f>
        <v>2842250.3899999997</v>
      </c>
    </row>
    <row r="410" spans="1:5">
      <c r="A410" s="444" t="s">
        <v>695</v>
      </c>
      <c r="B410" s="983"/>
      <c r="C410" s="214"/>
      <c r="D410" s="445"/>
    </row>
    <row r="411" spans="1:5">
      <c r="A411" s="446" t="s">
        <v>696</v>
      </c>
      <c r="B411" s="212">
        <v>647602.64</v>
      </c>
      <c r="C411" s="214"/>
      <c r="D411" s="447">
        <v>669359.48</v>
      </c>
    </row>
    <row r="412" spans="1:5">
      <c r="A412" s="446" t="s">
        <v>697</v>
      </c>
      <c r="B412" s="212">
        <v>287915.2</v>
      </c>
      <c r="C412" s="214"/>
      <c r="D412" s="447">
        <v>486036.15</v>
      </c>
    </row>
    <row r="413" spans="1:5">
      <c r="A413" s="448"/>
      <c r="B413" s="449">
        <f>SUM(B411:B412)</f>
        <v>935517.84000000008</v>
      </c>
      <c r="C413" s="443">
        <f>B413</f>
        <v>935517.84000000008</v>
      </c>
      <c r="D413" s="450">
        <f>SUM(D411:D412)</f>
        <v>1155395.6299999999</v>
      </c>
      <c r="E413" s="443">
        <f>D413</f>
        <v>1155395.6299999999</v>
      </c>
    </row>
    <row r="414" spans="1:5">
      <c r="A414" s="431" t="s">
        <v>698</v>
      </c>
      <c r="B414" s="451">
        <f t="shared" ref="B414" si="7">+B413+B409+B403+B397</f>
        <v>10365798.710000001</v>
      </c>
      <c r="C414" s="88"/>
      <c r="D414" s="451">
        <f>+D413+D409+D403+D397</f>
        <v>8746461.1500000004</v>
      </c>
    </row>
    <row r="415" spans="1:5">
      <c r="A415" s="77"/>
      <c r="B415" s="88"/>
      <c r="C415" s="88"/>
    </row>
  </sheetData>
  <mergeCells count="5">
    <mergeCell ref="A336:B336"/>
    <mergeCell ref="A387:B387"/>
    <mergeCell ref="F242:F318"/>
    <mergeCell ref="F336:G336"/>
    <mergeCell ref="F390:G39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C7665-7E7B-4C5D-A48E-E6C66C4029F0}">
  <dimension ref="A1:G77"/>
  <sheetViews>
    <sheetView workbookViewId="0">
      <selection activeCell="B6" sqref="B6"/>
    </sheetView>
  </sheetViews>
  <sheetFormatPr defaultColWidth="18.33203125" defaultRowHeight="11.4"/>
  <cols>
    <col min="1" max="1" width="59.33203125" style="34" customWidth="1"/>
    <col min="2" max="2" width="20.109375" style="34" customWidth="1"/>
    <col min="3" max="3" width="15.44140625" style="34" customWidth="1"/>
    <col min="4" max="4" width="16.33203125" style="34" bestFit="1" customWidth="1"/>
    <col min="5" max="5" width="1.33203125" style="34" customWidth="1"/>
    <col min="6" max="6" width="16.33203125" style="34" bestFit="1" customWidth="1"/>
    <col min="7" max="16384" width="18.33203125" style="35"/>
  </cols>
  <sheetData>
    <row r="1" spans="1:6" ht="14.4" customHeight="1">
      <c r="A1" s="1095"/>
      <c r="B1" s="1088" t="s">
        <v>972</v>
      </c>
      <c r="C1" s="1088" t="s">
        <v>911</v>
      </c>
      <c r="D1" s="1088" t="s">
        <v>635</v>
      </c>
      <c r="E1" s="167"/>
      <c r="F1" s="1088" t="s">
        <v>636</v>
      </c>
    </row>
    <row r="2" spans="1:6">
      <c r="A2" s="1095"/>
      <c r="B2" s="1088"/>
      <c r="C2" s="1088"/>
      <c r="D2" s="1088"/>
      <c r="E2" s="167"/>
      <c r="F2" s="1088"/>
    </row>
    <row r="3" spans="1:6">
      <c r="A3" s="1095"/>
      <c r="B3" s="1088"/>
      <c r="C3" s="1088"/>
      <c r="D3" s="1088"/>
      <c r="E3" s="167"/>
      <c r="F3" s="1088"/>
    </row>
    <row r="4" spans="1:6" ht="12">
      <c r="A4" s="32"/>
      <c r="B4" s="32"/>
      <c r="C4" s="32"/>
      <c r="D4" s="33"/>
      <c r="F4" s="33"/>
    </row>
    <row r="5" spans="1:6" ht="12">
      <c r="A5" s="36" t="s">
        <v>0</v>
      </c>
      <c r="B5" s="36"/>
      <c r="C5" s="36"/>
      <c r="D5" s="37"/>
      <c r="F5" s="37"/>
    </row>
    <row r="6" spans="1:6">
      <c r="A6" s="32"/>
      <c r="B6" s="32"/>
      <c r="C6" s="32"/>
      <c r="D6" s="35"/>
      <c r="E6" s="35"/>
      <c r="F6" s="35"/>
    </row>
    <row r="7" spans="1:6" ht="12">
      <c r="A7" s="36" t="s">
        <v>1</v>
      </c>
      <c r="B7" s="908">
        <v>18490215.280000001</v>
      </c>
      <c r="C7" s="908">
        <v>25060599.18</v>
      </c>
      <c r="D7" s="38">
        <v>25060599.18</v>
      </c>
      <c r="E7" s="39"/>
      <c r="F7" s="38">
        <v>27551287.469999999</v>
      </c>
    </row>
    <row r="8" spans="1:6">
      <c r="A8" s="32" t="s">
        <v>2</v>
      </c>
      <c r="B8" s="74">
        <v>1997818568.3299999</v>
      </c>
      <c r="C8" s="74">
        <v>1937403267.75</v>
      </c>
      <c r="D8" s="39">
        <v>1937403267.75</v>
      </c>
      <c r="E8" s="39"/>
      <c r="F8" s="39">
        <v>1937682481.1500001</v>
      </c>
    </row>
    <row r="9" spans="1:6">
      <c r="A9" s="32" t="s">
        <v>3</v>
      </c>
      <c r="B9" s="74">
        <v>7105457570.3199997</v>
      </c>
      <c r="C9" s="74">
        <v>6851047976.8329992</v>
      </c>
      <c r="D9" s="39">
        <v>6797000546.7399998</v>
      </c>
      <c r="E9" s="39"/>
      <c r="F9" s="39">
        <v>7017175342.4300003</v>
      </c>
    </row>
    <row r="10" spans="1:6">
      <c r="A10" s="32" t="s">
        <v>4</v>
      </c>
      <c r="B10" s="74">
        <v>99414435.870000005</v>
      </c>
      <c r="C10" s="74">
        <v>101407988.09</v>
      </c>
      <c r="D10" s="39">
        <v>101407988.09</v>
      </c>
      <c r="E10" s="39"/>
      <c r="F10" s="39">
        <v>124359680.55</v>
      </c>
    </row>
    <row r="11" spans="1:6">
      <c r="A11" s="52" t="s">
        <v>5</v>
      </c>
      <c r="B11" s="50">
        <v>15689983.639999997</v>
      </c>
      <c r="C11" s="50">
        <v>22507931.32</v>
      </c>
      <c r="D11" s="39">
        <v>22507931.32</v>
      </c>
      <c r="E11" s="39"/>
      <c r="F11" s="39">
        <v>28636578.989999998</v>
      </c>
    </row>
    <row r="12" spans="1:6">
      <c r="A12" s="52" t="s">
        <v>6</v>
      </c>
      <c r="B12" s="909">
        <v>34713382.909999996</v>
      </c>
      <c r="C12" s="909">
        <v>34263861.95000004</v>
      </c>
      <c r="D12" s="39">
        <v>34263861.95000004</v>
      </c>
      <c r="E12" s="39"/>
      <c r="F12" s="39">
        <v>39952184.170000002</v>
      </c>
    </row>
    <row r="13" spans="1:6">
      <c r="A13" s="52" t="s">
        <v>7</v>
      </c>
      <c r="B13" s="909">
        <v>537994890.5</v>
      </c>
      <c r="C13" s="909">
        <v>419189116.49000001</v>
      </c>
      <c r="D13" s="39">
        <v>419189116.49000001</v>
      </c>
      <c r="E13" s="39"/>
      <c r="F13" s="39">
        <v>493032973.31</v>
      </c>
    </row>
    <row r="14" spans="1:6">
      <c r="A14" s="52" t="s">
        <v>8</v>
      </c>
      <c r="B14" s="909">
        <v>4526717006.7799997</v>
      </c>
      <c r="C14" s="909">
        <v>4005231440.77</v>
      </c>
      <c r="D14" s="39">
        <v>4005231440.77</v>
      </c>
      <c r="E14" s="39"/>
      <c r="F14" s="39">
        <v>3015863322.4000001</v>
      </c>
    </row>
    <row r="15" spans="1:6">
      <c r="A15" s="52" t="s">
        <v>9</v>
      </c>
      <c r="B15" s="909">
        <v>69501539.859999999</v>
      </c>
      <c r="C15" s="909">
        <v>67457102.069999993</v>
      </c>
      <c r="D15" s="39">
        <v>67457102.069999993</v>
      </c>
      <c r="E15" s="39"/>
      <c r="F15" s="39">
        <v>49873604.390000001</v>
      </c>
    </row>
    <row r="16" spans="1:6" ht="12">
      <c r="A16" s="53" t="s">
        <v>10</v>
      </c>
      <c r="B16" s="179">
        <f>SUM(B8:B15)</f>
        <v>14387307378.209999</v>
      </c>
      <c r="C16" s="179">
        <f>SUM(C8:C15)</f>
        <v>13438508685.273001</v>
      </c>
      <c r="D16" s="38">
        <f>SUM(D8:D15)</f>
        <v>13384461255.18</v>
      </c>
      <c r="E16" s="39"/>
      <c r="F16" s="38">
        <f>SUM(F8:F15)</f>
        <v>12706576167.389997</v>
      </c>
    </row>
    <row r="17" spans="1:7">
      <c r="A17" s="52" t="s">
        <v>11</v>
      </c>
      <c r="B17" s="909">
        <v>60683943.170000002</v>
      </c>
      <c r="C17" s="909">
        <v>60683943.170000002</v>
      </c>
      <c r="D17" s="39">
        <v>60683943.170000002</v>
      </c>
      <c r="E17" s="39"/>
      <c r="F17" s="39">
        <v>60976232.359999999</v>
      </c>
    </row>
    <row r="18" spans="1:7">
      <c r="A18" s="52" t="s">
        <v>12</v>
      </c>
      <c r="B18" s="909">
        <v>401660</v>
      </c>
      <c r="C18" s="909">
        <v>611498.19999999995</v>
      </c>
      <c r="D18" s="39">
        <v>611498.19999999995</v>
      </c>
      <c r="E18" s="39"/>
      <c r="F18" s="39">
        <v>468696.72</v>
      </c>
    </row>
    <row r="19" spans="1:7">
      <c r="A19" s="52" t="s">
        <v>13</v>
      </c>
      <c r="B19" s="909">
        <v>0</v>
      </c>
      <c r="C19" s="909">
        <v>0</v>
      </c>
      <c r="D19" s="39">
        <v>0</v>
      </c>
      <c r="E19" s="39"/>
      <c r="F19" s="39">
        <v>32366.39</v>
      </c>
    </row>
    <row r="20" spans="1:7" ht="12">
      <c r="A20" s="53" t="s">
        <v>14</v>
      </c>
      <c r="B20" s="179">
        <f>SUM(B17:B19)</f>
        <v>61085603.170000002</v>
      </c>
      <c r="C20" s="179">
        <f>SUM(C17:C19)</f>
        <v>61295441.370000005</v>
      </c>
      <c r="D20" s="38">
        <f>SUM(D17:D19)</f>
        <v>61295441.370000005</v>
      </c>
      <c r="E20" s="39"/>
      <c r="F20" s="38">
        <f>SUM(F17:F19)</f>
        <v>61477295.469999999</v>
      </c>
    </row>
    <row r="21" spans="1:7">
      <c r="A21" s="52" t="s">
        <v>15</v>
      </c>
      <c r="B21" s="909">
        <v>5959173.3099999987</v>
      </c>
      <c r="C21" s="909">
        <v>9632457.0199999996</v>
      </c>
      <c r="D21" s="39">
        <v>9632457.0199999996</v>
      </c>
      <c r="E21" s="39"/>
      <c r="F21" s="39">
        <v>13611017.059999999</v>
      </c>
    </row>
    <row r="22" spans="1:7" ht="12">
      <c r="A22" s="53" t="s">
        <v>16</v>
      </c>
      <c r="B22" s="179">
        <f>SUM(B21)</f>
        <v>5959173.3099999987</v>
      </c>
      <c r="C22" s="179">
        <f>SUM(C21)</f>
        <v>9632457.0199999996</v>
      </c>
      <c r="D22" s="38">
        <f>SUM(D21:D21)</f>
        <v>9632457.0199999996</v>
      </c>
      <c r="E22" s="39"/>
      <c r="F22" s="38">
        <f>SUM(F21:F21)</f>
        <v>13611017.059999999</v>
      </c>
    </row>
    <row r="23" spans="1:7" ht="12">
      <c r="A23" s="53" t="s">
        <v>17</v>
      </c>
      <c r="B23" s="179">
        <v>10690876.23</v>
      </c>
      <c r="C23" s="179">
        <v>12003305.48</v>
      </c>
      <c r="D23" s="38">
        <f>+'[1]Radno Bilanca - vrem.razg 2021'!H16</f>
        <v>9658204.5999999996</v>
      </c>
      <c r="E23" s="39"/>
      <c r="F23" s="38">
        <v>5395891.7699999996</v>
      </c>
    </row>
    <row r="24" spans="1:7" ht="12">
      <c r="A24" s="168" t="s">
        <v>18</v>
      </c>
      <c r="B24" s="57">
        <f>B23+B22+B20+B16+B7</f>
        <v>14483533246.199999</v>
      </c>
      <c r="C24" s="57">
        <f>C23+C22+C20+C16+C7</f>
        <v>13546500488.323002</v>
      </c>
      <c r="D24" s="38">
        <f>D7+D16+D20+D22+D23</f>
        <v>13490107957.350002</v>
      </c>
      <c r="E24" s="38"/>
      <c r="F24" s="38">
        <f>F7+F16+F20+F22+F23</f>
        <v>12814611659.159996</v>
      </c>
      <c r="G24" s="40"/>
    </row>
    <row r="25" spans="1:7" ht="12">
      <c r="A25" s="52"/>
      <c r="B25" s="909"/>
      <c r="C25" s="909"/>
      <c r="D25" s="38"/>
      <c r="E25" s="39"/>
      <c r="F25" s="38"/>
    </row>
    <row r="26" spans="1:7" ht="12">
      <c r="A26" s="53" t="s">
        <v>19</v>
      </c>
      <c r="B26" s="179">
        <v>146808283.52000001</v>
      </c>
      <c r="C26" s="179">
        <v>175799502.06999999</v>
      </c>
      <c r="D26" s="38">
        <v>175799502.06999999</v>
      </c>
      <c r="E26" s="39"/>
      <c r="F26" s="38">
        <v>160205281.63999999</v>
      </c>
    </row>
    <row r="27" spans="1:7">
      <c r="A27" s="52" t="s">
        <v>20</v>
      </c>
      <c r="B27" s="909">
        <v>37504627.842225999</v>
      </c>
      <c r="C27" s="909">
        <v>211041991.93257657</v>
      </c>
      <c r="D27" s="39">
        <f>+'[1]krat.potraž.pov.31.12.2021.'!D34</f>
        <v>211041991.93257657</v>
      </c>
      <c r="E27" s="39"/>
      <c r="F27" s="39">
        <v>208411655.50399283</v>
      </c>
    </row>
    <row r="28" spans="1:7">
      <c r="A28" s="52" t="s">
        <v>21</v>
      </c>
      <c r="B28" s="909">
        <v>14488037.884863012</v>
      </c>
      <c r="C28" s="909">
        <v>16088019.363931969</v>
      </c>
      <c r="D28" s="39">
        <f>+'[1]krat.potraž.pov.31.12.2021.'!D46</f>
        <v>16088019.363931969</v>
      </c>
      <c r="E28" s="39"/>
      <c r="F28" s="39">
        <v>23786862.885017622</v>
      </c>
      <c r="G28" s="41"/>
    </row>
    <row r="29" spans="1:7">
      <c r="A29" s="52" t="s">
        <v>22</v>
      </c>
      <c r="B29" s="909">
        <v>6613515</v>
      </c>
      <c r="C29" s="909">
        <v>6594639.5899999999</v>
      </c>
      <c r="D29" s="39">
        <v>6594639.5899999999</v>
      </c>
      <c r="E29" s="39"/>
      <c r="F29" s="39">
        <v>6742355.1200000001</v>
      </c>
    </row>
    <row r="30" spans="1:7">
      <c r="A30" s="52" t="s">
        <v>23</v>
      </c>
      <c r="B30" s="909">
        <v>389611573.33000004</v>
      </c>
      <c r="C30" s="909">
        <v>13124775.970000001</v>
      </c>
      <c r="D30" s="39">
        <f>+'[1]pot. od države 31.12.2021.'!D9</f>
        <v>13124775.970000001</v>
      </c>
      <c r="E30" s="39"/>
      <c r="F30" s="39">
        <v>10747809.349999994</v>
      </c>
    </row>
    <row r="31" spans="1:7">
      <c r="A31" s="52" t="s">
        <v>15</v>
      </c>
      <c r="B31" s="909">
        <v>20698838.239999998</v>
      </c>
      <c r="C31" s="909">
        <v>21509938.74000001</v>
      </c>
      <c r="D31" s="39">
        <f>+'[1]ostala potraživanja 31.12.2021,'!D16</f>
        <v>21509938.74000001</v>
      </c>
      <c r="E31" s="39"/>
      <c r="F31" s="39">
        <v>16909105.170000002</v>
      </c>
    </row>
    <row r="32" spans="1:7" ht="12">
      <c r="A32" s="53" t="s">
        <v>16</v>
      </c>
      <c r="B32" s="179">
        <f>SUM(B27:B31)</f>
        <v>468916592.29708904</v>
      </c>
      <c r="C32" s="179">
        <f>SUM(C27:C31)</f>
        <v>268359365.59650856</v>
      </c>
      <c r="D32" s="38">
        <f>SUM(D27:D31)</f>
        <v>268359365.59650856</v>
      </c>
      <c r="E32" s="39"/>
      <c r="F32" s="38">
        <f>SUM(F27:F31)</f>
        <v>266597788.02901047</v>
      </c>
    </row>
    <row r="33" spans="1:7">
      <c r="A33" s="52" t="s">
        <v>24</v>
      </c>
      <c r="B33" s="909">
        <v>7006674.5499999998</v>
      </c>
      <c r="C33" s="909">
        <v>7462021.7699999986</v>
      </c>
      <c r="D33" s="39">
        <f>+'[1]dani zajmovi 31.12.2021.'!B15</f>
        <v>7462021.7699999986</v>
      </c>
      <c r="E33" s="39"/>
      <c r="F33" s="39">
        <v>8332604.0199999996</v>
      </c>
    </row>
    <row r="34" spans="1:7" ht="12">
      <c r="A34" s="53" t="s">
        <v>14</v>
      </c>
      <c r="B34" s="179">
        <f>B33</f>
        <v>7006674.5499999998</v>
      </c>
      <c r="C34" s="179">
        <f>C33</f>
        <v>7462021.7699999986</v>
      </c>
      <c r="D34" s="38">
        <f>SUM(D33)</f>
        <v>7462021.7699999986</v>
      </c>
      <c r="E34" s="39"/>
      <c r="F34" s="38">
        <f>SUM(F33)</f>
        <v>8332604.0199999996</v>
      </c>
    </row>
    <row r="35" spans="1:7" ht="12">
      <c r="A35" s="53" t="s">
        <v>25</v>
      </c>
      <c r="B35" s="179">
        <v>399674399.44</v>
      </c>
      <c r="C35" s="179">
        <v>94223347.320000008</v>
      </c>
      <c r="D35" s="38">
        <f>83972953.42+10250393.9</f>
        <v>94223347.320000008</v>
      </c>
      <c r="E35" s="39"/>
      <c r="F35" s="38">
        <f>227599133.09+9372815.9</f>
        <v>236971948.99000001</v>
      </c>
    </row>
    <row r="36" spans="1:7" ht="12">
      <c r="A36" s="53" t="s">
        <v>17</v>
      </c>
      <c r="B36" s="179">
        <v>26208.71</v>
      </c>
      <c r="C36" s="179">
        <v>156854.72</v>
      </c>
      <c r="D36" s="38">
        <f>+'[1]Radno Bilanca - vrem.razg 2021'!H17-0.02</f>
        <v>2501955.6</v>
      </c>
      <c r="E36" s="39"/>
      <c r="F36" s="38">
        <v>3064252.42</v>
      </c>
    </row>
    <row r="37" spans="1:7" ht="12">
      <c r="A37" s="53" t="s">
        <v>26</v>
      </c>
      <c r="B37" s="179">
        <f>B36+B35+B34+B32+B26</f>
        <v>1022432158.517089</v>
      </c>
      <c r="C37" s="179">
        <f>C36+C35+C34+C32+C26</f>
        <v>546001091.47650862</v>
      </c>
      <c r="D37" s="38">
        <f>D26+D32+D34+D35+D36</f>
        <v>548346192.35650861</v>
      </c>
      <c r="E37" s="39"/>
      <c r="F37" s="38">
        <f>F26+F32+F34+F35+F36</f>
        <v>675171875.09901035</v>
      </c>
      <c r="G37" s="40"/>
    </row>
    <row r="38" spans="1:7" ht="12">
      <c r="A38" s="53"/>
      <c r="B38" s="179"/>
      <c r="C38" s="179"/>
      <c r="D38" s="38"/>
      <c r="E38" s="39"/>
      <c r="F38" s="38"/>
      <c r="G38" s="40"/>
    </row>
    <row r="39" spans="1:7" ht="12">
      <c r="A39" s="169" t="s">
        <v>27</v>
      </c>
      <c r="B39" s="910">
        <f>B37+B24</f>
        <v>15505965404.717089</v>
      </c>
      <c r="C39" s="910">
        <f>C37+C24</f>
        <v>14092501579.799511</v>
      </c>
      <c r="D39" s="170">
        <f>D24+D37</f>
        <v>14038454149.706511</v>
      </c>
      <c r="E39" s="171"/>
      <c r="F39" s="170">
        <f>F24+F37</f>
        <v>13489783534.259007</v>
      </c>
    </row>
    <row r="40" spans="1:7">
      <c r="A40" s="35"/>
      <c r="B40" s="41"/>
      <c r="C40" s="41"/>
    </row>
    <row r="41" spans="1:7" ht="12">
      <c r="A41" s="53" t="s">
        <v>28</v>
      </c>
      <c r="B41" s="179"/>
      <c r="C41" s="179"/>
      <c r="D41" s="42"/>
      <c r="E41" s="43"/>
      <c r="F41" s="42"/>
    </row>
    <row r="42" spans="1:7">
      <c r="A42" s="52" t="s">
        <v>29</v>
      </c>
      <c r="B42" s="909">
        <v>224188000</v>
      </c>
      <c r="C42" s="909">
        <v>224188000</v>
      </c>
      <c r="D42" s="44">
        <v>224188000</v>
      </c>
      <c r="E42" s="39"/>
      <c r="F42" s="44">
        <v>224188000</v>
      </c>
    </row>
    <row r="43" spans="1:7">
      <c r="A43" s="52" t="s">
        <v>30</v>
      </c>
      <c r="B43" s="909">
        <v>7469394606.8500004</v>
      </c>
      <c r="C43" s="909">
        <v>6978640751.9729996</v>
      </c>
      <c r="D43" s="44">
        <v>6924593321.8800001</v>
      </c>
      <c r="E43" s="39"/>
      <c r="F43" s="44">
        <v>7066310336.3500004</v>
      </c>
    </row>
    <row r="44" spans="1:7">
      <c r="A44" s="52" t="s">
        <v>973</v>
      </c>
      <c r="B44" s="909">
        <v>20868960.789999999</v>
      </c>
      <c r="C44" s="909">
        <v>0</v>
      </c>
      <c r="D44" s="44"/>
      <c r="E44" s="39"/>
      <c r="F44" s="44"/>
    </row>
    <row r="45" spans="1:7">
      <c r="A45" s="52" t="s">
        <v>31</v>
      </c>
      <c r="B45" s="909">
        <v>166993429.81999999</v>
      </c>
      <c r="C45" s="909">
        <v>157541432.41999999</v>
      </c>
      <c r="D45" s="44">
        <v>157541432.41999999</v>
      </c>
      <c r="E45" s="39"/>
      <c r="F45" s="44">
        <f>6691532.22-2634109.38</f>
        <v>4057422.84</v>
      </c>
    </row>
    <row r="46" spans="1:7">
      <c r="A46" s="32" t="s">
        <v>32</v>
      </c>
      <c r="B46" s="74">
        <v>121133068.67089999</v>
      </c>
      <c r="C46" s="74">
        <v>3460258.56</v>
      </c>
      <c r="D46" s="44">
        <v>3460258.56</v>
      </c>
      <c r="E46" s="39"/>
      <c r="F46" s="44">
        <v>706358.82</v>
      </c>
    </row>
    <row r="47" spans="1:7" ht="12">
      <c r="A47" s="36" t="s">
        <v>33</v>
      </c>
      <c r="B47" s="45">
        <f t="shared" ref="B47:C47" si="0">SUM(B42:B46)</f>
        <v>8002578066.1309004</v>
      </c>
      <c r="C47" s="45">
        <f t="shared" si="0"/>
        <v>7363830442.9530001</v>
      </c>
      <c r="D47" s="45">
        <f>SUM(D42:D46)</f>
        <v>7309783012.8600006</v>
      </c>
      <c r="E47" s="39"/>
      <c r="F47" s="45">
        <f>SUM(F42:F46)</f>
        <v>7295262118.0100002</v>
      </c>
    </row>
    <row r="48" spans="1:7" ht="12">
      <c r="A48" s="36"/>
      <c r="B48" s="908"/>
      <c r="C48" s="908"/>
      <c r="D48" s="45"/>
      <c r="E48" s="39"/>
      <c r="F48" s="45"/>
    </row>
    <row r="49" spans="1:7" ht="12">
      <c r="A49" s="36" t="s">
        <v>47</v>
      </c>
      <c r="B49" s="908">
        <v>165086196.72000003</v>
      </c>
      <c r="C49" s="908">
        <v>187836996.96000004</v>
      </c>
      <c r="D49" s="45">
        <f>+'[1]rezerviranja 31.12.2021.'!G6</f>
        <v>187836996.96000004</v>
      </c>
      <c r="E49" s="39"/>
      <c r="F49" s="45">
        <v>156124709.20000002</v>
      </c>
    </row>
    <row r="50" spans="1:7" ht="12">
      <c r="A50" s="36"/>
      <c r="B50" s="908"/>
      <c r="C50" s="908"/>
      <c r="D50" s="45"/>
      <c r="E50" s="39"/>
      <c r="F50" s="45"/>
    </row>
    <row r="51" spans="1:7">
      <c r="A51" s="32" t="s">
        <v>34</v>
      </c>
      <c r="B51" s="74">
        <v>16362921.01</v>
      </c>
      <c r="C51" s="74">
        <v>23119406.670000002</v>
      </c>
      <c r="D51" s="44">
        <v>23119406.670000002</v>
      </c>
      <c r="E51" s="39"/>
      <c r="F51" s="44">
        <v>28937196.479999997</v>
      </c>
    </row>
    <row r="52" spans="1:7">
      <c r="A52" s="32" t="s">
        <v>43</v>
      </c>
      <c r="B52" s="74">
        <v>1937624272.6300001</v>
      </c>
      <c r="C52" s="74">
        <v>1603339670.6400001</v>
      </c>
      <c r="D52" s="46">
        <v>1603339670.6400001</v>
      </c>
      <c r="E52" s="39"/>
      <c r="F52" s="46">
        <v>1279152571.1500001</v>
      </c>
    </row>
    <row r="53" spans="1:7">
      <c r="A53" s="32" t="s">
        <v>35</v>
      </c>
      <c r="B53" s="74">
        <v>9363097.7599999998</v>
      </c>
      <c r="C53" s="74">
        <v>9169872.3000000007</v>
      </c>
      <c r="D53" s="44">
        <v>9169872.3000000007</v>
      </c>
      <c r="E53" s="39"/>
      <c r="F53" s="44">
        <v>15247002.5</v>
      </c>
    </row>
    <row r="54" spans="1:7">
      <c r="A54" s="32" t="s">
        <v>974</v>
      </c>
      <c r="B54" s="74">
        <v>2480171</v>
      </c>
      <c r="C54" s="74">
        <v>0</v>
      </c>
      <c r="D54" s="44"/>
      <c r="E54" s="39"/>
      <c r="F54" s="44"/>
    </row>
    <row r="55" spans="1:7">
      <c r="A55" s="32" t="s">
        <v>36</v>
      </c>
      <c r="B55" s="74">
        <v>2711585323.920001</v>
      </c>
      <c r="C55" s="74">
        <v>2742369203.500001</v>
      </c>
      <c r="D55" s="44">
        <f>+'[1]Radno Bilanca - vrem.razg 2021'!H74</f>
        <v>2742369203.500001</v>
      </c>
      <c r="E55" s="39"/>
      <c r="F55" s="44">
        <v>2658854797.9500003</v>
      </c>
    </row>
    <row r="56" spans="1:7" ht="12">
      <c r="A56" s="36" t="s">
        <v>48</v>
      </c>
      <c r="B56" s="908">
        <f>SUM(B51:B55)</f>
        <v>4677415786.3200016</v>
      </c>
      <c r="C56" s="908">
        <f>SUM(C51:C55)</f>
        <v>4377998153.1100006</v>
      </c>
      <c r="D56" s="45">
        <f>SUM(D51:D55)</f>
        <v>4377998153.1100006</v>
      </c>
      <c r="E56" s="39"/>
      <c r="F56" s="45">
        <f>SUM(F51:F55)</f>
        <v>3982191568.0800004</v>
      </c>
      <c r="G56" s="40"/>
    </row>
    <row r="57" spans="1:7">
      <c r="A57" s="32"/>
      <c r="B57" s="74"/>
      <c r="C57" s="74"/>
      <c r="D57" s="44"/>
      <c r="E57" s="39"/>
      <c r="F57" s="44"/>
    </row>
    <row r="58" spans="1:7">
      <c r="A58" s="52" t="s">
        <v>44</v>
      </c>
      <c r="B58" s="909">
        <v>77012165.969999999</v>
      </c>
      <c r="C58" s="909">
        <v>92712882.799999997</v>
      </c>
      <c r="D58" s="911">
        <f>+'[1]Obveze prema pov. 31.12.2021.'!C28</f>
        <v>92712882.799999997</v>
      </c>
      <c r="E58" s="56"/>
      <c r="F58" s="911">
        <v>105872956.78999999</v>
      </c>
    </row>
    <row r="59" spans="1:7">
      <c r="A59" s="52" t="s">
        <v>45</v>
      </c>
      <c r="B59" s="909">
        <v>14190</v>
      </c>
      <c r="C59" s="909">
        <v>90</v>
      </c>
      <c r="D59" s="911">
        <v>90</v>
      </c>
      <c r="E59" s="56"/>
      <c r="F59" s="911">
        <v>90</v>
      </c>
    </row>
    <row r="60" spans="1:7">
      <c r="A60" s="52" t="s">
        <v>34</v>
      </c>
      <c r="B60" s="909">
        <v>195866719.53999999</v>
      </c>
      <c r="C60" s="909">
        <v>194218366.61000001</v>
      </c>
      <c r="D60" s="64">
        <v>194218366.61000001</v>
      </c>
      <c r="E60" s="56"/>
      <c r="F60" s="64">
        <v>194427166.01999998</v>
      </c>
    </row>
    <row r="61" spans="1:7">
      <c r="A61" s="52" t="s">
        <v>43</v>
      </c>
      <c r="B61" s="909">
        <v>547912407.16999996</v>
      </c>
      <c r="C61" s="909">
        <v>191481845.43000001</v>
      </c>
      <c r="D61" s="911">
        <f>181231451.53+10250393.9</f>
        <v>191481845.43000001</v>
      </c>
      <c r="E61" s="56"/>
      <c r="F61" s="911">
        <v>196664073.34</v>
      </c>
      <c r="G61" s="41"/>
    </row>
    <row r="62" spans="1:7">
      <c r="A62" s="52" t="s">
        <v>37</v>
      </c>
      <c r="B62" s="909">
        <v>3845316.43</v>
      </c>
      <c r="C62" s="909">
        <v>1756017</v>
      </c>
      <c r="D62" s="64">
        <v>1756017</v>
      </c>
      <c r="E62" s="56"/>
      <c r="F62" s="64">
        <v>2198657.2400000002</v>
      </c>
      <c r="G62" s="41"/>
    </row>
    <row r="63" spans="1:7">
      <c r="A63" s="52" t="s">
        <v>38</v>
      </c>
      <c r="B63" s="909">
        <v>262647220.83000001</v>
      </c>
      <c r="C63" s="909">
        <v>334149406.75999999</v>
      </c>
      <c r="D63" s="64">
        <f>+'[1]Obveze prema pov. 31.12.2021.'!C35</f>
        <v>334149406.75999999</v>
      </c>
      <c r="E63" s="56"/>
      <c r="F63" s="64">
        <v>303288183.55000001</v>
      </c>
      <c r="G63" s="41"/>
    </row>
    <row r="64" spans="1:7">
      <c r="A64" s="52" t="s">
        <v>39</v>
      </c>
      <c r="B64" s="909">
        <v>47019219.270000003</v>
      </c>
      <c r="C64" s="909">
        <v>38213155.649999999</v>
      </c>
      <c r="D64" s="64">
        <v>38213155.649999999</v>
      </c>
      <c r="E64" s="56"/>
      <c r="F64" s="64">
        <v>36895487.649999999</v>
      </c>
      <c r="G64" s="41"/>
    </row>
    <row r="65" spans="1:7">
      <c r="A65" s="52" t="s">
        <v>46</v>
      </c>
      <c r="B65" s="909">
        <v>135746262.1591</v>
      </c>
      <c r="C65" s="909">
        <v>20289056.309999999</v>
      </c>
      <c r="D65" s="911">
        <v>20289056.309999999</v>
      </c>
      <c r="E65" s="56"/>
      <c r="F65" s="911">
        <v>21335430.989999998</v>
      </c>
    </row>
    <row r="66" spans="1:7">
      <c r="A66" s="52" t="s">
        <v>40</v>
      </c>
      <c r="B66" s="909">
        <v>14380865.970000267</v>
      </c>
      <c r="C66" s="909">
        <v>2869401.3699998856</v>
      </c>
      <c r="D66" s="64">
        <f>+'[1]kto 2495 na 31.12.2021.'!M149</f>
        <v>2869401.3699998856</v>
      </c>
      <c r="E66" s="56"/>
      <c r="F66" s="64">
        <v>3364802.5000002384</v>
      </c>
    </row>
    <row r="67" spans="1:7">
      <c r="A67" s="52" t="s">
        <v>41</v>
      </c>
      <c r="B67" s="909">
        <v>1332445600.2099998</v>
      </c>
      <c r="C67" s="909">
        <v>1256385773.6300001</v>
      </c>
      <c r="D67" s="64">
        <f>+'[1]kto 2495 na 31.12.2021.'!M150</f>
        <v>1256385773.6300001</v>
      </c>
      <c r="E67" s="56"/>
      <c r="F67" s="64">
        <v>1166937321.4799998</v>
      </c>
    </row>
    <row r="68" spans="1:7">
      <c r="A68" s="52" t="s">
        <v>36</v>
      </c>
      <c r="B68" s="909">
        <v>43995388</v>
      </c>
      <c r="C68" s="909">
        <v>30759991.219999999</v>
      </c>
      <c r="D68" s="64">
        <f>+'[1]Radno Bilanca - vrem.razg 2021'!H75</f>
        <v>30759991.219999999</v>
      </c>
      <c r="E68" s="56"/>
      <c r="F68" s="64">
        <v>25220969.409999996</v>
      </c>
    </row>
    <row r="69" spans="1:7" ht="12">
      <c r="A69" s="53" t="s">
        <v>49</v>
      </c>
      <c r="B69" s="66">
        <f t="shared" ref="B69:C69" si="1">SUM(B58:B68)</f>
        <v>2660885355.5490999</v>
      </c>
      <c r="C69" s="66">
        <f t="shared" si="1"/>
        <v>2162835986.7799997</v>
      </c>
      <c r="D69" s="66">
        <f>SUM(D58:D68)</f>
        <v>2162835986.7799997</v>
      </c>
      <c r="E69" s="56"/>
      <c r="F69" s="66">
        <f>SUM(F58:F68)</f>
        <v>2056205138.97</v>
      </c>
      <c r="G69" s="40"/>
    </row>
    <row r="70" spans="1:7" ht="12">
      <c r="A70" s="36"/>
      <c r="B70" s="908"/>
      <c r="C70" s="908"/>
      <c r="D70" s="45"/>
      <c r="E70" s="39"/>
      <c r="F70" s="45"/>
      <c r="G70" s="40"/>
    </row>
    <row r="71" spans="1:7" ht="12">
      <c r="A71" s="169" t="s">
        <v>42</v>
      </c>
      <c r="B71" s="172">
        <f t="shared" ref="B71:C71" si="2">B47+B49+B56+B69</f>
        <v>15505965404.720001</v>
      </c>
      <c r="C71" s="172">
        <f t="shared" si="2"/>
        <v>14092501579.803001</v>
      </c>
      <c r="D71" s="172">
        <f>D47+D49+D56+D69</f>
        <v>14038454149.709999</v>
      </c>
      <c r="E71" s="171"/>
      <c r="F71" s="172">
        <f>F47+F49+F56+F69</f>
        <v>13489783534.26</v>
      </c>
    </row>
    <row r="72" spans="1:7">
      <c r="B72" s="50"/>
      <c r="C72" s="50"/>
    </row>
    <row r="73" spans="1:7">
      <c r="B73" s="47">
        <f t="shared" ref="B73:C73" si="3">B71-B39</f>
        <v>2.9125213623046875E-3</v>
      </c>
      <c r="C73" s="47">
        <f t="shared" si="3"/>
        <v>3.490447998046875E-3</v>
      </c>
      <c r="D73" s="47">
        <f>D71-D39</f>
        <v>3.4885406494140625E-3</v>
      </c>
      <c r="E73" s="48"/>
      <c r="F73" s="47">
        <f>F71-F39</f>
        <v>9.937286376953125E-4</v>
      </c>
      <c r="G73" s="49"/>
    </row>
    <row r="74" spans="1:7">
      <c r="B74" s="50"/>
      <c r="C74" s="50"/>
    </row>
    <row r="75" spans="1:7">
      <c r="B75" s="50"/>
      <c r="C75" s="50"/>
    </row>
    <row r="76" spans="1:7">
      <c r="A76" s="50"/>
      <c r="B76" s="50"/>
      <c r="C76" s="50"/>
      <c r="D76" s="50"/>
    </row>
    <row r="77" spans="1:7">
      <c r="A77" s="47"/>
      <c r="B77" s="47"/>
      <c r="C77" s="47"/>
      <c r="D77" s="51"/>
      <c r="F77" s="51"/>
    </row>
  </sheetData>
  <mergeCells count="5">
    <mergeCell ref="A1:A3"/>
    <mergeCell ref="D1:D3"/>
    <mergeCell ref="F1:F3"/>
    <mergeCell ref="B1:B3"/>
    <mergeCell ref="C1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6757-F968-47DA-9300-9D2920F62B44}">
  <dimension ref="A1:L67"/>
  <sheetViews>
    <sheetView workbookViewId="0">
      <selection activeCell="B9" sqref="B9"/>
    </sheetView>
  </sheetViews>
  <sheetFormatPr defaultColWidth="9.109375" defaultRowHeight="11.4"/>
  <cols>
    <col min="1" max="1" width="47.33203125" style="35" bestFit="1" customWidth="1"/>
    <col min="2" max="2" width="10.88671875" style="35" customWidth="1"/>
    <col min="3" max="3" width="2.109375" style="35" customWidth="1"/>
    <col min="4" max="4" width="10.6640625" style="35" bestFit="1" customWidth="1"/>
    <col min="5" max="5" width="2.109375" style="35" customWidth="1"/>
    <col min="6" max="6" width="11.44140625" style="35" customWidth="1"/>
    <col min="7" max="7" width="15.44140625" style="35" bestFit="1" customWidth="1"/>
    <col min="8" max="8" width="9.88671875" style="35" bestFit="1" customWidth="1"/>
    <col min="9" max="9" width="15.44140625" style="35" customWidth="1"/>
    <col min="10" max="16384" width="9.109375" style="35"/>
  </cols>
  <sheetData>
    <row r="1" spans="1:12">
      <c r="A1" s="165"/>
      <c r="B1" s="1096" t="s">
        <v>50</v>
      </c>
      <c r="C1" s="1096"/>
      <c r="D1" s="1096"/>
      <c r="E1" s="1096"/>
      <c r="F1" s="1096"/>
    </row>
    <row r="2" spans="1:12" ht="12">
      <c r="A2" s="165"/>
      <c r="B2" s="166" t="s">
        <v>51</v>
      </c>
      <c r="C2" s="166"/>
      <c r="D2" s="166" t="s">
        <v>52</v>
      </c>
      <c r="E2" s="166"/>
      <c r="F2" s="166" t="s">
        <v>53</v>
      </c>
    </row>
    <row r="3" spans="1:12" ht="12">
      <c r="A3" s="165"/>
      <c r="B3" s="166" t="s">
        <v>54</v>
      </c>
      <c r="C3" s="166"/>
      <c r="D3" s="166" t="s">
        <v>54</v>
      </c>
      <c r="E3" s="166"/>
      <c r="F3" s="166" t="s">
        <v>54</v>
      </c>
    </row>
    <row r="4" spans="1:12" ht="12">
      <c r="A4" s="53"/>
      <c r="B4" s="54"/>
      <c r="D4" s="54"/>
      <c r="F4" s="54"/>
    </row>
    <row r="5" spans="1:12" ht="12">
      <c r="A5" s="53" t="s">
        <v>1</v>
      </c>
      <c r="B5" s="55">
        <v>25060.599180000001</v>
      </c>
      <c r="C5" s="56"/>
      <c r="D5" s="57" t="s">
        <v>55</v>
      </c>
      <c r="F5" s="55">
        <v>25060.599180000001</v>
      </c>
    </row>
    <row r="6" spans="1:12">
      <c r="A6" s="52" t="s">
        <v>2</v>
      </c>
      <c r="B6" s="58">
        <v>192586</v>
      </c>
      <c r="C6" s="56"/>
      <c r="D6" s="58">
        <f>1744817</f>
        <v>1744817</v>
      </c>
      <c r="F6" s="58">
        <f t="shared" ref="F6:F13" si="0">+B6+D6</f>
        <v>1937403</v>
      </c>
      <c r="G6" s="41"/>
      <c r="H6" s="58"/>
      <c r="I6" s="41"/>
      <c r="J6" s="41"/>
      <c r="K6" s="41"/>
      <c r="L6" s="41"/>
    </row>
    <row r="7" spans="1:12">
      <c r="A7" s="52" t="s">
        <v>3</v>
      </c>
      <c r="B7" s="58">
        <v>115015</v>
      </c>
      <c r="C7" s="56"/>
      <c r="D7" s="58">
        <v>6681986</v>
      </c>
      <c r="F7" s="58">
        <f t="shared" si="0"/>
        <v>6797001</v>
      </c>
      <c r="G7" s="41"/>
      <c r="H7" s="58"/>
      <c r="I7" s="41"/>
      <c r="J7" s="41"/>
      <c r="K7" s="41"/>
      <c r="L7" s="41"/>
    </row>
    <row r="8" spans="1:12">
      <c r="A8" s="52" t="s">
        <v>4</v>
      </c>
      <c r="B8" s="58">
        <v>1239</v>
      </c>
      <c r="C8" s="56"/>
      <c r="D8" s="58">
        <v>100169</v>
      </c>
      <c r="F8" s="58">
        <f t="shared" si="0"/>
        <v>101408</v>
      </c>
      <c r="G8" s="41"/>
      <c r="H8" s="58"/>
      <c r="I8" s="41"/>
      <c r="J8" s="41"/>
      <c r="K8" s="41"/>
      <c r="L8" s="41"/>
    </row>
    <row r="9" spans="1:12">
      <c r="A9" s="52" t="s">
        <v>5</v>
      </c>
      <c r="B9" s="58">
        <v>22507.93132</v>
      </c>
      <c r="C9" s="56"/>
      <c r="D9" s="59">
        <v>0</v>
      </c>
      <c r="F9" s="58">
        <f t="shared" si="0"/>
        <v>22507.93132</v>
      </c>
      <c r="G9" s="41"/>
      <c r="H9" s="58"/>
      <c r="I9" s="41"/>
      <c r="J9" s="41"/>
      <c r="K9" s="41"/>
      <c r="L9" s="41"/>
    </row>
    <row r="10" spans="1:12">
      <c r="A10" s="52" t="s">
        <v>6</v>
      </c>
      <c r="B10" s="58">
        <v>34219</v>
      </c>
      <c r="C10" s="56"/>
      <c r="D10" s="58">
        <v>45</v>
      </c>
      <c r="F10" s="58">
        <f t="shared" si="0"/>
        <v>34264</v>
      </c>
      <c r="G10" s="41"/>
      <c r="H10" s="58"/>
      <c r="I10" s="41"/>
      <c r="J10" s="41"/>
      <c r="K10" s="41"/>
      <c r="L10" s="41"/>
    </row>
    <row r="11" spans="1:12">
      <c r="A11" s="52" t="s">
        <v>7</v>
      </c>
      <c r="B11" s="58">
        <v>419189.11648999999</v>
      </c>
      <c r="C11" s="56"/>
      <c r="D11" s="59">
        <v>0</v>
      </c>
      <c r="F11" s="59">
        <f t="shared" si="0"/>
        <v>419189.11648999999</v>
      </c>
      <c r="G11" s="41"/>
      <c r="H11" s="58"/>
      <c r="I11" s="41"/>
      <c r="J11" s="41"/>
      <c r="K11" s="41"/>
      <c r="L11" s="41"/>
    </row>
    <row r="12" spans="1:12">
      <c r="A12" s="52" t="s">
        <v>8</v>
      </c>
      <c r="B12" s="58">
        <v>4005231.4407699998</v>
      </c>
      <c r="C12" s="56"/>
      <c r="D12" s="59">
        <v>0</v>
      </c>
      <c r="F12" s="59">
        <f t="shared" si="0"/>
        <v>4005231.4407699998</v>
      </c>
      <c r="G12" s="41"/>
      <c r="H12" s="58"/>
      <c r="I12" s="41"/>
      <c r="J12" s="41"/>
      <c r="K12" s="41"/>
      <c r="L12" s="41"/>
    </row>
    <row r="13" spans="1:12">
      <c r="A13" s="52" t="s">
        <v>9</v>
      </c>
      <c r="B13" s="58">
        <v>48444</v>
      </c>
      <c r="C13" s="56"/>
      <c r="D13" s="58">
        <v>19013</v>
      </c>
      <c r="F13" s="58">
        <f t="shared" si="0"/>
        <v>67457</v>
      </c>
      <c r="G13" s="41"/>
      <c r="H13" s="58"/>
      <c r="I13" s="41"/>
      <c r="J13" s="41"/>
      <c r="K13" s="41"/>
      <c r="L13" s="41"/>
    </row>
    <row r="14" spans="1:12" ht="12">
      <c r="A14" s="53" t="s">
        <v>10</v>
      </c>
      <c r="B14" s="55">
        <f>SUM(B6:B13)</f>
        <v>4838431.4885799997</v>
      </c>
      <c r="C14" s="56"/>
      <c r="D14" s="55">
        <f>SUM(D6:D13)</f>
        <v>8546030</v>
      </c>
      <c r="F14" s="55">
        <f>SUM(F6:F13)</f>
        <v>13384461.488580002</v>
      </c>
      <c r="G14" s="41"/>
      <c r="H14" s="58"/>
    </row>
    <row r="15" spans="1:12">
      <c r="A15" s="52" t="s">
        <v>56</v>
      </c>
      <c r="B15" s="58">
        <v>60683.943169999999</v>
      </c>
      <c r="C15" s="56"/>
      <c r="D15" s="56" t="s">
        <v>55</v>
      </c>
      <c r="F15" s="58">
        <f>B15</f>
        <v>60683.943169999999</v>
      </c>
    </row>
    <row r="16" spans="1:12">
      <c r="A16" s="52" t="s">
        <v>12</v>
      </c>
      <c r="B16" s="58">
        <v>611.4982</v>
      </c>
      <c r="C16" s="56"/>
      <c r="D16" s="56" t="s">
        <v>55</v>
      </c>
      <c r="F16" s="58">
        <f>B16</f>
        <v>611.4982</v>
      </c>
    </row>
    <row r="17" spans="1:7">
      <c r="A17" s="52" t="s">
        <v>13</v>
      </c>
      <c r="B17" s="58">
        <v>0</v>
      </c>
      <c r="C17" s="56"/>
      <c r="D17" s="56" t="s">
        <v>55</v>
      </c>
      <c r="F17" s="58">
        <f>B17</f>
        <v>0</v>
      </c>
    </row>
    <row r="18" spans="1:7" ht="12">
      <c r="A18" s="53" t="s">
        <v>14</v>
      </c>
      <c r="B18" s="55">
        <f>SUM(B15:B17)</f>
        <v>61295.44137</v>
      </c>
      <c r="C18" s="56"/>
      <c r="D18" s="57" t="s">
        <v>55</v>
      </c>
      <c r="F18" s="55">
        <f>SUM(F15:F17)</f>
        <v>61295.44137</v>
      </c>
    </row>
    <row r="19" spans="1:7">
      <c r="A19" s="52" t="s">
        <v>15</v>
      </c>
      <c r="B19" s="58">
        <v>9632.4570199999998</v>
      </c>
      <c r="C19" s="56"/>
      <c r="D19" s="56" t="s">
        <v>55</v>
      </c>
      <c r="F19" s="58">
        <f>B19</f>
        <v>9632.4570199999998</v>
      </c>
    </row>
    <row r="20" spans="1:7" ht="12">
      <c r="A20" s="53" t="s">
        <v>16</v>
      </c>
      <c r="B20" s="55">
        <f>SUM(B19:B19)</f>
        <v>9632.4570199999998</v>
      </c>
      <c r="C20" s="56"/>
      <c r="D20" s="57" t="s">
        <v>55</v>
      </c>
      <c r="F20" s="55">
        <f>SUM(F19:F19)</f>
        <v>9632.4570199999998</v>
      </c>
    </row>
    <row r="21" spans="1:7" ht="12">
      <c r="A21" s="53" t="s">
        <v>18</v>
      </c>
      <c r="B21" s="55">
        <f>B5+B14+B18+B20-1</f>
        <v>4934418.9861499993</v>
      </c>
      <c r="C21" s="56"/>
      <c r="D21" s="55">
        <f>D14</f>
        <v>8546030</v>
      </c>
      <c r="F21" s="55">
        <f>F5+F14+F18+F20-1</f>
        <v>13480448.98615</v>
      </c>
    </row>
    <row r="22" spans="1:7">
      <c r="A22" s="52"/>
      <c r="B22" s="56"/>
      <c r="C22" s="56"/>
      <c r="D22" s="56"/>
      <c r="F22" s="56"/>
    </row>
    <row r="23" spans="1:7" ht="12">
      <c r="A23" s="53" t="s">
        <v>19</v>
      </c>
      <c r="B23" s="55">
        <v>175799.50206999999</v>
      </c>
      <c r="C23" s="56"/>
      <c r="D23" s="57" t="s">
        <v>55</v>
      </c>
      <c r="F23" s="55">
        <f>+B23</f>
        <v>175799.50206999999</v>
      </c>
      <c r="G23" s="58"/>
    </row>
    <row r="24" spans="1:7">
      <c r="A24" s="52" t="s">
        <v>20</v>
      </c>
      <c r="B24" s="58">
        <v>211041.99193257658</v>
      </c>
      <c r="C24" s="56"/>
      <c r="D24" s="60" t="s">
        <v>55</v>
      </c>
      <c r="F24" s="58">
        <f>B24</f>
        <v>211041.99193257658</v>
      </c>
    </row>
    <row r="25" spans="1:7">
      <c r="A25" s="52" t="s">
        <v>21</v>
      </c>
      <c r="B25" s="58">
        <v>16088.01936393197</v>
      </c>
      <c r="C25" s="56"/>
      <c r="D25" s="56" t="s">
        <v>55</v>
      </c>
      <c r="F25" s="58">
        <f>B25</f>
        <v>16088.01936393197</v>
      </c>
    </row>
    <row r="26" spans="1:7">
      <c r="A26" s="52" t="s">
        <v>22</v>
      </c>
      <c r="B26" s="58">
        <v>6593.6395899999998</v>
      </c>
      <c r="C26" s="56"/>
      <c r="D26" s="56" t="s">
        <v>55</v>
      </c>
      <c r="F26" s="58">
        <f>B26</f>
        <v>6593.6395899999998</v>
      </c>
    </row>
    <row r="27" spans="1:7">
      <c r="A27" s="52" t="s">
        <v>23</v>
      </c>
      <c r="B27" s="58">
        <v>13124.775970000001</v>
      </c>
      <c r="C27" s="56"/>
      <c r="D27" s="56" t="s">
        <v>55</v>
      </c>
      <c r="F27" s="58">
        <f>B27</f>
        <v>13124.775970000001</v>
      </c>
    </row>
    <row r="28" spans="1:7">
      <c r="A28" s="52" t="s">
        <v>15</v>
      </c>
      <c r="B28" s="58">
        <v>21509.938740000009</v>
      </c>
      <c r="C28" s="56"/>
      <c r="D28" s="56" t="s">
        <v>55</v>
      </c>
      <c r="F28" s="58">
        <f>B28</f>
        <v>21509.938740000009</v>
      </c>
    </row>
    <row r="29" spans="1:7" ht="12">
      <c r="A29" s="53" t="s">
        <v>16</v>
      </c>
      <c r="B29" s="55">
        <f>SUM(B24:B28)+1</f>
        <v>268359.36559650855</v>
      </c>
      <c r="C29" s="56"/>
      <c r="D29" s="57" t="s">
        <v>55</v>
      </c>
      <c r="F29" s="55">
        <f>SUM(F24:F28)+1</f>
        <v>268359.36559650855</v>
      </c>
    </row>
    <row r="30" spans="1:7">
      <c r="A30" s="52" t="s">
        <v>24</v>
      </c>
      <c r="B30" s="58">
        <v>7462.0217699999985</v>
      </c>
      <c r="C30" s="56"/>
      <c r="D30" s="56" t="s">
        <v>55</v>
      </c>
      <c r="F30" s="58">
        <f>B30</f>
        <v>7462.0217699999985</v>
      </c>
    </row>
    <row r="31" spans="1:7" ht="12">
      <c r="A31" s="53" t="s">
        <v>14</v>
      </c>
      <c r="B31" s="55">
        <f>SUM(B30)</f>
        <v>7462.0217699999985</v>
      </c>
      <c r="C31" s="56"/>
      <c r="D31" s="57" t="s">
        <v>55</v>
      </c>
      <c r="F31" s="55">
        <f>SUM(F30)</f>
        <v>7462.0217699999985</v>
      </c>
    </row>
    <row r="32" spans="1:7" ht="12">
      <c r="A32" s="53" t="s">
        <v>25</v>
      </c>
      <c r="B32" s="55">
        <v>94223.347320000001</v>
      </c>
      <c r="C32" s="56"/>
      <c r="D32" s="57" t="s">
        <v>55</v>
      </c>
      <c r="F32" s="55">
        <f>+B32</f>
        <v>94223.347320000001</v>
      </c>
    </row>
    <row r="33" spans="1:9" ht="12">
      <c r="A33" s="53" t="s">
        <v>26</v>
      </c>
      <c r="B33" s="55">
        <f>B23+B29+B31+B32</f>
        <v>545844.23675650847</v>
      </c>
      <c r="C33" s="56"/>
      <c r="D33" s="57" t="s">
        <v>55</v>
      </c>
      <c r="F33" s="55">
        <f>F23+F29+F31+F32</f>
        <v>545844.23675650847</v>
      </c>
    </row>
    <row r="34" spans="1:9" ht="12">
      <c r="A34" s="53"/>
      <c r="B34" s="55"/>
      <c r="C34" s="56"/>
      <c r="D34" s="57"/>
      <c r="F34" s="55"/>
    </row>
    <row r="35" spans="1:9" ht="12">
      <c r="A35" s="53" t="s">
        <v>17</v>
      </c>
      <c r="B35" s="55">
        <v>5330685</v>
      </c>
      <c r="C35" s="56"/>
      <c r="D35" s="55">
        <v>3879951</v>
      </c>
      <c r="F35" s="55">
        <f>B35+D35</f>
        <v>9210636</v>
      </c>
      <c r="G35" s="61"/>
      <c r="H35" s="58"/>
    </row>
    <row r="36" spans="1:9" ht="12">
      <c r="A36" s="53"/>
      <c r="B36" s="55"/>
      <c r="C36" s="56"/>
      <c r="D36" s="55"/>
      <c r="F36" s="55"/>
      <c r="G36" s="61"/>
      <c r="H36" s="58"/>
    </row>
    <row r="37" spans="1:9" ht="12">
      <c r="A37" s="169" t="s">
        <v>27</v>
      </c>
      <c r="B37" s="181">
        <f>B35+B33+B21</f>
        <v>10810948.222906508</v>
      </c>
      <c r="C37" s="171"/>
      <c r="D37" s="181">
        <f>D21+D35</f>
        <v>12425981</v>
      </c>
      <c r="E37" s="182"/>
      <c r="F37" s="181">
        <f>+F35+F33+F21</f>
        <v>23236929.222906508</v>
      </c>
      <c r="G37" s="62"/>
      <c r="H37" s="58"/>
    </row>
    <row r="39" spans="1:9">
      <c r="A39" s="52" t="s">
        <v>29</v>
      </c>
      <c r="B39" s="63">
        <v>224188</v>
      </c>
      <c r="C39" s="56"/>
      <c r="D39" s="64" t="s">
        <v>55</v>
      </c>
      <c r="F39" s="63">
        <f>B39</f>
        <v>224188</v>
      </c>
    </row>
    <row r="40" spans="1:9">
      <c r="A40" s="52" t="s">
        <v>30</v>
      </c>
      <c r="B40" s="63">
        <v>3074</v>
      </c>
      <c r="C40" s="56"/>
      <c r="D40" s="63">
        <v>6921520</v>
      </c>
      <c r="F40" s="63">
        <f>B40+D40</f>
        <v>6924594</v>
      </c>
    </row>
    <row r="41" spans="1:9">
      <c r="A41" s="52" t="s">
        <v>31</v>
      </c>
      <c r="B41" s="63">
        <v>157541.43242</v>
      </c>
      <c r="C41" s="56"/>
      <c r="D41" s="63" t="s">
        <v>55</v>
      </c>
      <c r="F41" s="63">
        <f>B41</f>
        <v>157541.43242</v>
      </c>
    </row>
    <row r="42" spans="1:9">
      <c r="A42" s="52" t="s">
        <v>32</v>
      </c>
      <c r="B42" s="63">
        <v>3460</v>
      </c>
      <c r="C42" s="56"/>
      <c r="D42" s="64" t="s">
        <v>55</v>
      </c>
      <c r="F42" s="63">
        <f>B42</f>
        <v>3460</v>
      </c>
    </row>
    <row r="43" spans="1:9" ht="12">
      <c r="A43" s="53" t="s">
        <v>33</v>
      </c>
      <c r="B43" s="65">
        <f>SUM(B39:B42)</f>
        <v>388263.43241999997</v>
      </c>
      <c r="C43" s="56"/>
      <c r="D43" s="65">
        <f>(SUM(D39:D42))</f>
        <v>6921520</v>
      </c>
      <c r="F43" s="65">
        <f>SUM(F39:F42)</f>
        <v>7309783.4324200004</v>
      </c>
      <c r="I43" s="41"/>
    </row>
    <row r="44" spans="1:9" ht="12">
      <c r="A44" s="53"/>
      <c r="B44" s="65"/>
      <c r="C44" s="56"/>
      <c r="D44" s="65"/>
      <c r="F44" s="65"/>
      <c r="I44" s="41"/>
    </row>
    <row r="45" spans="1:9" ht="12">
      <c r="A45" s="53" t="s">
        <v>47</v>
      </c>
      <c r="B45" s="65">
        <v>187836.99696000005</v>
      </c>
      <c r="C45" s="56"/>
      <c r="D45" s="66" t="s">
        <v>55</v>
      </c>
      <c r="F45" s="65">
        <f>B45</f>
        <v>187836.99696000005</v>
      </c>
      <c r="I45" s="41"/>
    </row>
    <row r="46" spans="1:9" ht="12">
      <c r="A46" s="52"/>
      <c r="B46" s="64" t="s">
        <v>634</v>
      </c>
      <c r="C46" s="56"/>
      <c r="D46" s="64"/>
      <c r="F46" s="64"/>
      <c r="I46" s="67"/>
    </row>
    <row r="47" spans="1:9">
      <c r="A47" s="52" t="s">
        <v>34</v>
      </c>
      <c r="B47" s="58">
        <v>23119.40667</v>
      </c>
      <c r="C47" s="56"/>
      <c r="D47" s="64" t="s">
        <v>55</v>
      </c>
      <c r="F47" s="58">
        <f>+B47</f>
        <v>23119.40667</v>
      </c>
    </row>
    <row r="48" spans="1:9">
      <c r="A48" s="52" t="s">
        <v>43</v>
      </c>
      <c r="B48" s="58">
        <v>1603339.6706400001</v>
      </c>
      <c r="C48" s="56"/>
      <c r="D48" s="63">
        <v>0</v>
      </c>
      <c r="F48" s="58">
        <f>+B48+D48</f>
        <v>1603339.6706400001</v>
      </c>
    </row>
    <row r="49" spans="1:7">
      <c r="A49" s="52" t="s">
        <v>35</v>
      </c>
      <c r="B49" s="58">
        <v>9169.8723000000009</v>
      </c>
      <c r="C49" s="56"/>
      <c r="D49" s="63" t="s">
        <v>55</v>
      </c>
      <c r="F49" s="58">
        <f>B49</f>
        <v>9169.8723000000009</v>
      </c>
    </row>
    <row r="50" spans="1:7" ht="12">
      <c r="A50" s="53" t="s">
        <v>48</v>
      </c>
      <c r="B50" s="65">
        <f>SUM(B47:B49)</f>
        <v>1635628.94961</v>
      </c>
      <c r="C50" s="56"/>
      <c r="D50" s="66" t="s">
        <v>55</v>
      </c>
      <c r="F50" s="65">
        <f>SUM(F47:F49)</f>
        <v>1635628.94961</v>
      </c>
    </row>
    <row r="51" spans="1:7">
      <c r="A51" s="52"/>
      <c r="B51" s="64"/>
      <c r="C51" s="56"/>
      <c r="D51" s="64"/>
      <c r="F51" s="64"/>
    </row>
    <row r="52" spans="1:7">
      <c r="A52" s="52" t="s">
        <v>44</v>
      </c>
      <c r="B52" s="58">
        <v>92712.882799999992</v>
      </c>
      <c r="C52" s="56"/>
      <c r="D52" s="59"/>
      <c r="F52" s="63">
        <f t="shared" ref="F52:F60" si="1">B52+D52</f>
        <v>92712.882799999992</v>
      </c>
    </row>
    <row r="53" spans="1:7">
      <c r="A53" s="52" t="s">
        <v>45</v>
      </c>
      <c r="B53" s="58">
        <v>4164</v>
      </c>
      <c r="C53" s="56"/>
      <c r="D53" s="59">
        <v>190054</v>
      </c>
      <c r="F53" s="63">
        <f t="shared" si="1"/>
        <v>194218</v>
      </c>
    </row>
    <row r="54" spans="1:7">
      <c r="A54" s="52" t="s">
        <v>43</v>
      </c>
      <c r="B54" s="58">
        <v>191481.84543000002</v>
      </c>
      <c r="C54" s="56"/>
      <c r="D54" s="59"/>
      <c r="F54" s="63">
        <f t="shared" si="1"/>
        <v>191481.84543000002</v>
      </c>
    </row>
    <row r="55" spans="1:7">
      <c r="A55" s="52" t="s">
        <v>37</v>
      </c>
      <c r="B55" s="58">
        <v>1756.0170000000001</v>
      </c>
      <c r="C55" s="56"/>
      <c r="D55" s="59"/>
      <c r="F55" s="63">
        <f t="shared" si="1"/>
        <v>1756.0170000000001</v>
      </c>
    </row>
    <row r="56" spans="1:7">
      <c r="A56" s="52" t="s">
        <v>38</v>
      </c>
      <c r="B56" s="58">
        <v>334149.40675999998</v>
      </c>
      <c r="C56" s="56"/>
      <c r="D56" s="59"/>
      <c r="F56" s="63">
        <f t="shared" si="1"/>
        <v>334149.40675999998</v>
      </c>
    </row>
    <row r="57" spans="1:7">
      <c r="A57" s="52" t="s">
        <v>39</v>
      </c>
      <c r="B57" s="58">
        <v>38213.155650000001</v>
      </c>
      <c r="C57" s="56"/>
      <c r="D57" s="59"/>
      <c r="F57" s="63">
        <f t="shared" si="1"/>
        <v>38213.155650000001</v>
      </c>
    </row>
    <row r="58" spans="1:7">
      <c r="A58" s="52" t="s">
        <v>46</v>
      </c>
      <c r="B58" s="58">
        <v>20289.05631</v>
      </c>
      <c r="C58" s="56"/>
      <c r="D58" s="59"/>
      <c r="F58" s="63">
        <f t="shared" si="1"/>
        <v>20289.05631</v>
      </c>
    </row>
    <row r="59" spans="1:7">
      <c r="A59" s="52" t="s">
        <v>40</v>
      </c>
      <c r="B59" s="58">
        <v>2869.4013699998854</v>
      </c>
      <c r="C59" s="56"/>
      <c r="D59" s="59"/>
      <c r="F59" s="63">
        <f t="shared" si="1"/>
        <v>2869.4013699998854</v>
      </c>
    </row>
    <row r="60" spans="1:7">
      <c r="A60" s="52" t="s">
        <v>41</v>
      </c>
      <c r="B60" s="58">
        <v>1256386</v>
      </c>
      <c r="C60" s="56"/>
      <c r="D60" s="59"/>
      <c r="F60" s="63">
        <f t="shared" si="1"/>
        <v>1256386</v>
      </c>
    </row>
    <row r="61" spans="1:7" ht="12">
      <c r="A61" s="53" t="s">
        <v>49</v>
      </c>
      <c r="B61" s="65">
        <f>SUM(B52:B60)-1</f>
        <v>1942020.7653199998</v>
      </c>
      <c r="C61" s="56"/>
      <c r="D61" s="65">
        <f>SUM(D52:D60)</f>
        <v>190054</v>
      </c>
      <c r="F61" s="65">
        <f>SUM(F52:F60)</f>
        <v>2132075.7653199998</v>
      </c>
      <c r="G61" s="58"/>
    </row>
    <row r="62" spans="1:7" ht="12">
      <c r="A62" s="53"/>
      <c r="B62" s="65"/>
      <c r="C62" s="56"/>
      <c r="D62" s="65"/>
      <c r="F62" s="65"/>
      <c r="G62" s="58"/>
    </row>
    <row r="63" spans="1:7" ht="12">
      <c r="A63" s="53" t="s">
        <v>36</v>
      </c>
      <c r="B63" s="65">
        <f>6658952-26574+24822</f>
        <v>6657200</v>
      </c>
      <c r="C63" s="56"/>
      <c r="D63" s="65">
        <v>5314406</v>
      </c>
      <c r="F63" s="65">
        <f>B63+D63</f>
        <v>11971606</v>
      </c>
    </row>
    <row r="64" spans="1:7" ht="12">
      <c r="A64" s="53"/>
      <c r="B64" s="65"/>
      <c r="C64" s="56"/>
      <c r="D64" s="65"/>
      <c r="F64" s="65"/>
    </row>
    <row r="65" spans="1:8" ht="12">
      <c r="A65" s="169" t="s">
        <v>42</v>
      </c>
      <c r="B65" s="183">
        <f>B43+B45+B50+B61+B63</f>
        <v>10810950.144309999</v>
      </c>
      <c r="C65" s="171"/>
      <c r="D65" s="183">
        <f>D43+D61+D63</f>
        <v>12425980</v>
      </c>
      <c r="E65" s="182"/>
      <c r="F65" s="183">
        <f>+F43+F45+'[1]Bilanca infra i JD 2021. tis kn'!F65+F61+F63</f>
        <v>23236931.144309998</v>
      </c>
      <c r="G65" s="62"/>
      <c r="H65" s="58"/>
    </row>
    <row r="66" spans="1:8" ht="12">
      <c r="A66" s="53"/>
      <c r="B66" s="65"/>
      <c r="C66" s="56"/>
      <c r="D66" s="65"/>
      <c r="F66" s="65"/>
      <c r="G66" s="62"/>
      <c r="H66" s="58"/>
    </row>
    <row r="67" spans="1:8" s="49" customFormat="1">
      <c r="A67" s="68" t="s">
        <v>637</v>
      </c>
      <c r="B67" s="68">
        <f>B65-B37</f>
        <v>1.9214034918695688</v>
      </c>
      <c r="C67" s="68"/>
      <c r="D67" s="68">
        <f>D65-D37</f>
        <v>-1</v>
      </c>
      <c r="E67" s="68"/>
      <c r="F67" s="68">
        <f>F65-F37</f>
        <v>1.9214034900069237</v>
      </c>
    </row>
  </sheetData>
  <mergeCells count="1">
    <mergeCell ref="B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7AE58-35CC-44E6-842B-EAFE9BDA6DFA}">
  <dimension ref="A2:O57"/>
  <sheetViews>
    <sheetView topLeftCell="A33" workbookViewId="0">
      <selection activeCell="H55" sqref="H55"/>
    </sheetView>
  </sheetViews>
  <sheetFormatPr defaultColWidth="8.88671875" defaultRowHeight="12"/>
  <cols>
    <col min="1" max="1" width="39.6640625" style="108" bestFit="1" customWidth="1"/>
    <col min="2" max="3" width="15.109375" style="108" customWidth="1"/>
    <col min="4" max="4" width="15.88671875" style="108" bestFit="1" customWidth="1"/>
    <col min="5" max="10" width="15.109375" style="108" customWidth="1"/>
    <col min="11" max="11" width="18.109375" style="108" customWidth="1"/>
    <col min="12" max="12" width="17.88671875" style="108" bestFit="1" customWidth="1"/>
    <col min="13" max="13" width="12.6640625" style="108" bestFit="1" customWidth="1"/>
    <col min="14" max="14" width="7" style="109" bestFit="1" customWidth="1"/>
    <col min="15" max="15" width="4" style="108" bestFit="1" customWidth="1"/>
    <col min="16" max="16384" width="8.88671875" style="108"/>
  </cols>
  <sheetData>
    <row r="2" spans="1:12">
      <c r="A2" s="107" t="s">
        <v>614</v>
      </c>
    </row>
    <row r="3" spans="1:12">
      <c r="A3" s="107"/>
    </row>
    <row r="4" spans="1:12">
      <c r="A4" s="1103" t="s">
        <v>402</v>
      </c>
      <c r="B4" s="1103" t="s">
        <v>1</v>
      </c>
      <c r="C4" s="1105" t="s">
        <v>2</v>
      </c>
      <c r="D4" s="1097" t="s">
        <v>3</v>
      </c>
      <c r="E4" s="1097" t="s">
        <v>4</v>
      </c>
      <c r="F4" s="1097" t="s">
        <v>403</v>
      </c>
      <c r="G4" s="1097" t="s">
        <v>404</v>
      </c>
      <c r="H4" s="1097" t="s">
        <v>9</v>
      </c>
      <c r="I4" s="1097" t="s">
        <v>405</v>
      </c>
      <c r="J4" s="1097" t="s">
        <v>406</v>
      </c>
      <c r="K4" s="1099" t="s">
        <v>407</v>
      </c>
    </row>
    <row r="5" spans="1:12">
      <c r="A5" s="1104"/>
      <c r="B5" s="1104"/>
      <c r="C5" s="1106"/>
      <c r="D5" s="1098"/>
      <c r="E5" s="1098"/>
      <c r="F5" s="1098"/>
      <c r="G5" s="1098"/>
      <c r="H5" s="1098"/>
      <c r="I5" s="1098"/>
      <c r="J5" s="1098"/>
      <c r="K5" s="1100"/>
    </row>
    <row r="6" spans="1:12">
      <c r="A6" s="110"/>
      <c r="B6" s="148"/>
      <c r="C6" s="148"/>
      <c r="D6" s="148"/>
      <c r="E6" s="148"/>
      <c r="F6" s="148"/>
      <c r="G6" s="148"/>
      <c r="H6" s="149"/>
      <c r="I6" s="149"/>
      <c r="J6" s="149"/>
      <c r="K6" s="149"/>
      <c r="L6" s="111"/>
    </row>
    <row r="7" spans="1:12" ht="12.6" thickBot="1">
      <c r="A7" s="110" t="s">
        <v>408</v>
      </c>
      <c r="B7" s="121"/>
      <c r="C7" s="121"/>
      <c r="D7" s="121"/>
      <c r="E7" s="121"/>
      <c r="F7" s="121"/>
      <c r="G7" s="121"/>
      <c r="H7" s="150"/>
      <c r="I7" s="150"/>
      <c r="J7" s="150"/>
      <c r="K7" s="150"/>
      <c r="L7" s="111"/>
    </row>
    <row r="8" spans="1:12" ht="12.6" thickBot="1">
      <c r="A8" s="112" t="s">
        <v>417</v>
      </c>
      <c r="B8" s="113">
        <v>256393443.58000001</v>
      </c>
      <c r="C8" s="113">
        <v>1937682481.1500001</v>
      </c>
      <c r="D8" s="113">
        <v>21252915500.439999</v>
      </c>
      <c r="E8" s="113">
        <v>718812565.36000001</v>
      </c>
      <c r="F8" s="113">
        <v>427378270.72000003</v>
      </c>
      <c r="G8" s="113">
        <v>33084582.850000001</v>
      </c>
      <c r="H8" s="113">
        <v>148625561.44</v>
      </c>
      <c r="I8" s="113">
        <v>4092750503.5300002</v>
      </c>
      <c r="J8" s="113">
        <v>499758677.13999999</v>
      </c>
      <c r="K8" s="113">
        <v>29111008142.630001</v>
      </c>
      <c r="L8" s="111"/>
    </row>
    <row r="9" spans="1:12">
      <c r="A9" s="114" t="s">
        <v>409</v>
      </c>
      <c r="B9" s="115"/>
      <c r="C9" s="115"/>
      <c r="D9" s="115"/>
      <c r="E9" s="115"/>
      <c r="F9" s="115"/>
      <c r="G9" s="115">
        <v>1159959.01</v>
      </c>
      <c r="H9" s="115"/>
      <c r="I9" s="115">
        <v>1058560721.13</v>
      </c>
      <c r="J9" s="115">
        <v>-73843856.819999993</v>
      </c>
      <c r="K9" s="116">
        <f>SUM(C9:J9)</f>
        <v>985876823.31999993</v>
      </c>
      <c r="L9" s="111"/>
    </row>
    <row r="10" spans="1:12">
      <c r="A10" s="117" t="s">
        <v>410</v>
      </c>
      <c r="B10" s="115">
        <v>5446265.9900000002</v>
      </c>
      <c r="C10" s="115"/>
      <c r="D10" s="115">
        <v>163625136.71000001</v>
      </c>
      <c r="E10" s="115">
        <v>198946.6</v>
      </c>
      <c r="F10" s="115">
        <v>3683010.39</v>
      </c>
      <c r="G10" s="115"/>
      <c r="H10" s="115"/>
      <c r="I10" s="118">
        <v>-172953360</v>
      </c>
      <c r="J10" s="115"/>
      <c r="K10" s="119">
        <f>SUM(C10:J10)</f>
        <v>-5446266.3000000119</v>
      </c>
    </row>
    <row r="11" spans="1:12">
      <c r="A11" s="117" t="s">
        <v>411</v>
      </c>
      <c r="B11" s="115"/>
      <c r="C11" s="115"/>
      <c r="D11" s="115"/>
      <c r="E11" s="118"/>
      <c r="F11" s="115"/>
      <c r="G11" s="115"/>
      <c r="H11" s="115">
        <v>207978782.02000001</v>
      </c>
      <c r="I11" s="115"/>
      <c r="J11" s="115"/>
      <c r="K11" s="119">
        <f>SUM(C11:J11)</f>
        <v>207978782.02000001</v>
      </c>
    </row>
    <row r="12" spans="1:12">
      <c r="A12" s="114" t="s">
        <v>412</v>
      </c>
      <c r="B12" s="115"/>
      <c r="C12" s="115"/>
      <c r="D12" s="115">
        <v>-1432438.77</v>
      </c>
      <c r="E12" s="115">
        <v>-156181.02000000002</v>
      </c>
      <c r="F12" s="115"/>
      <c r="G12" s="115"/>
      <c r="H12" s="115"/>
      <c r="I12" s="115"/>
      <c r="J12" s="115"/>
      <c r="K12" s="116">
        <f>SUM(C12:J12)</f>
        <v>-1588619.79</v>
      </c>
    </row>
    <row r="13" spans="1:12" ht="12.6" thickBot="1">
      <c r="A13" s="114" t="s">
        <v>413</v>
      </c>
      <c r="B13" s="120">
        <v>-55500</v>
      </c>
      <c r="C13" s="120">
        <v>-279213.40000000002</v>
      </c>
      <c r="D13" s="120">
        <v>-189182298.37000003</v>
      </c>
      <c r="E13" s="120">
        <v>-8142439.1799999978</v>
      </c>
      <c r="F13" s="120">
        <v>-15546222.439999999</v>
      </c>
      <c r="G13" s="120">
        <v>-824203.66</v>
      </c>
      <c r="H13" s="120">
        <v>-126026714</v>
      </c>
      <c r="I13" s="120"/>
      <c r="J13" s="120"/>
      <c r="K13" s="121">
        <f>SUM(C13:J13)</f>
        <v>-340001091.05000007</v>
      </c>
    </row>
    <row r="14" spans="1:12" ht="12.6" thickBot="1">
      <c r="A14" s="112" t="s">
        <v>418</v>
      </c>
      <c r="B14" s="113">
        <f t="shared" ref="B14:K14" si="0">SUM(B8:B13)</f>
        <v>261784209.57000002</v>
      </c>
      <c r="C14" s="113">
        <f t="shared" si="0"/>
        <v>1937403267.75</v>
      </c>
      <c r="D14" s="113">
        <f t="shared" si="0"/>
        <v>21225925900.009998</v>
      </c>
      <c r="E14" s="113">
        <f t="shared" si="0"/>
        <v>710712891.76000011</v>
      </c>
      <c r="F14" s="113">
        <f t="shared" si="0"/>
        <v>415515058.67000002</v>
      </c>
      <c r="G14" s="113">
        <f t="shared" si="0"/>
        <v>33420338.199999999</v>
      </c>
      <c r="H14" s="113">
        <f t="shared" si="0"/>
        <v>230577629.46000004</v>
      </c>
      <c r="I14" s="113">
        <f t="shared" si="0"/>
        <v>4978357864.6599998</v>
      </c>
      <c r="J14" s="113">
        <f t="shared" si="0"/>
        <v>425914820.31999999</v>
      </c>
      <c r="K14" s="113">
        <f t="shared" si="0"/>
        <v>29957827770.830002</v>
      </c>
    </row>
    <row r="15" spans="1:12">
      <c r="A15" s="110"/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2" ht="12.6" thickBot="1">
      <c r="A16" s="110" t="s">
        <v>414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1"/>
    </row>
    <row r="17" spans="1:15" ht="12.6" thickBot="1">
      <c r="A17" s="112" t="s">
        <v>417</v>
      </c>
      <c r="B17" s="113">
        <v>228842156.11000001</v>
      </c>
      <c r="C17" s="113">
        <v>0</v>
      </c>
      <c r="D17" s="113">
        <v>14235740158.01</v>
      </c>
      <c r="E17" s="113">
        <v>594452884.80999994</v>
      </c>
      <c r="F17" s="113">
        <v>387426086.55000001</v>
      </c>
      <c r="G17" s="113">
        <v>4448003.8600000003</v>
      </c>
      <c r="H17" s="113">
        <v>98751957.049999997</v>
      </c>
      <c r="I17" s="113">
        <v>1076887181.1300001</v>
      </c>
      <c r="J17" s="113">
        <v>6725703.8300000001</v>
      </c>
      <c r="K17" s="113">
        <v>16404431975.24</v>
      </c>
    </row>
    <row r="18" spans="1:15">
      <c r="A18" s="117" t="s">
        <v>415</v>
      </c>
      <c r="B18" s="115">
        <v>7936954.2800000003</v>
      </c>
      <c r="C18" s="115"/>
      <c r="D18" s="115">
        <v>352256130.39000005</v>
      </c>
      <c r="E18" s="115">
        <v>23117899.510000002</v>
      </c>
      <c r="F18" s="115">
        <v>9062875.7300000004</v>
      </c>
      <c r="G18" s="115">
        <v>6806999.7599999998</v>
      </c>
      <c r="H18" s="115">
        <v>609361.56999999995</v>
      </c>
      <c r="I18" s="115"/>
      <c r="J18" s="115"/>
      <c r="K18" s="116">
        <f>SUM(D18:J18)</f>
        <v>391853266.96000004</v>
      </c>
    </row>
    <row r="19" spans="1:15">
      <c r="A19" s="114" t="s">
        <v>412</v>
      </c>
      <c r="B19" s="115"/>
      <c r="C19" s="115"/>
      <c r="D19" s="115">
        <v>-848064.42</v>
      </c>
      <c r="E19" s="115">
        <v>-156137.69</v>
      </c>
      <c r="F19" s="115"/>
      <c r="G19" s="115"/>
      <c r="H19" s="115"/>
      <c r="I19" s="115"/>
      <c r="J19" s="115"/>
      <c r="K19" s="116">
        <f>SUM(C19:J19)</f>
        <v>-1004202.1100000001</v>
      </c>
    </row>
    <row r="20" spans="1:15">
      <c r="A20" s="114" t="s">
        <v>616</v>
      </c>
      <c r="B20" s="115"/>
      <c r="C20" s="115"/>
      <c r="D20" s="115"/>
      <c r="E20" s="115"/>
      <c r="F20" s="115"/>
      <c r="G20" s="115"/>
      <c r="H20" s="115"/>
      <c r="I20" s="115">
        <v>-103760756.93000001</v>
      </c>
      <c r="J20" s="115"/>
      <c r="K20" s="116">
        <f>SUM(C20:J20)</f>
        <v>-103760756.93000001</v>
      </c>
    </row>
    <row r="21" spans="1:15" ht="12.6" thickBot="1">
      <c r="A21" s="114" t="s">
        <v>413</v>
      </c>
      <c r="B21" s="124">
        <v>-55500</v>
      </c>
      <c r="C21" s="124"/>
      <c r="D21" s="124">
        <v>-158222870.71000001</v>
      </c>
      <c r="E21" s="124">
        <v>-8109742.9599999981</v>
      </c>
      <c r="F21" s="124">
        <v>-15237765.23</v>
      </c>
      <c r="G21" s="124">
        <v>-342596.73999999993</v>
      </c>
      <c r="H21" s="124">
        <v>63759208.769999996</v>
      </c>
      <c r="I21" s="124"/>
      <c r="J21" s="124"/>
      <c r="K21" s="125">
        <f>SUM(C21:J21)</f>
        <v>-118153766.87000002</v>
      </c>
    </row>
    <row r="22" spans="1:15" ht="12.6" thickBot="1">
      <c r="A22" s="112" t="s">
        <v>418</v>
      </c>
      <c r="B22" s="113">
        <f t="shared" ref="B22:K22" si="1">SUM(B17:B21)</f>
        <v>236723610.39000002</v>
      </c>
      <c r="C22" s="113">
        <f t="shared" si="1"/>
        <v>0</v>
      </c>
      <c r="D22" s="113">
        <f t="shared" si="1"/>
        <v>14428925353.27</v>
      </c>
      <c r="E22" s="113">
        <f t="shared" si="1"/>
        <v>609304903.66999984</v>
      </c>
      <c r="F22" s="113">
        <f t="shared" si="1"/>
        <v>381251197.05000001</v>
      </c>
      <c r="G22" s="113">
        <f t="shared" si="1"/>
        <v>10912406.880000001</v>
      </c>
      <c r="H22" s="113">
        <f t="shared" si="1"/>
        <v>163120527.38999999</v>
      </c>
      <c r="I22" s="113">
        <f t="shared" si="1"/>
        <v>973126424.20000005</v>
      </c>
      <c r="J22" s="113">
        <f t="shared" si="1"/>
        <v>6725703.8300000001</v>
      </c>
      <c r="K22" s="113">
        <f t="shared" si="1"/>
        <v>16573366516.289999</v>
      </c>
    </row>
    <row r="23" spans="1:15">
      <c r="A23" s="126"/>
      <c r="B23" s="127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5">
      <c r="A24" s="110" t="s">
        <v>416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6"/>
      <c r="L24" s="129"/>
      <c r="M24" s="129"/>
      <c r="N24" s="130"/>
      <c r="O24" s="131"/>
    </row>
    <row r="25" spans="1:15" ht="12.6" thickBot="1">
      <c r="A25" s="162" t="s">
        <v>418</v>
      </c>
      <c r="B25" s="160">
        <f t="shared" ref="B25:K25" si="2">B14-B22</f>
        <v>25060599.180000007</v>
      </c>
      <c r="C25" s="160">
        <f t="shared" si="2"/>
        <v>1937403267.75</v>
      </c>
      <c r="D25" s="160">
        <f t="shared" si="2"/>
        <v>6797000546.7399979</v>
      </c>
      <c r="E25" s="160">
        <f t="shared" si="2"/>
        <v>101407988.09000027</v>
      </c>
      <c r="F25" s="160">
        <f t="shared" si="2"/>
        <v>34263861.620000005</v>
      </c>
      <c r="G25" s="160">
        <f t="shared" si="2"/>
        <v>22507931.32</v>
      </c>
      <c r="H25" s="160">
        <f t="shared" si="2"/>
        <v>67457102.070000052</v>
      </c>
      <c r="I25" s="160">
        <f t="shared" si="2"/>
        <v>4005231440.46</v>
      </c>
      <c r="J25" s="160">
        <f t="shared" si="2"/>
        <v>419189116.49000001</v>
      </c>
      <c r="K25" s="160">
        <f t="shared" si="2"/>
        <v>13384461254.540003</v>
      </c>
      <c r="L25" s="111"/>
      <c r="M25" s="111"/>
      <c r="N25" s="132"/>
    </row>
    <row r="26" spans="1:15" ht="12.6" thickBot="1">
      <c r="A26" s="163" t="s">
        <v>417</v>
      </c>
      <c r="B26" s="164">
        <f t="shared" ref="B26:K26" si="3">+B8-B17</f>
        <v>27551287.469999999</v>
      </c>
      <c r="C26" s="164">
        <f t="shared" si="3"/>
        <v>1937682481.1500001</v>
      </c>
      <c r="D26" s="164">
        <f t="shared" si="3"/>
        <v>7017175342.4299984</v>
      </c>
      <c r="E26" s="164">
        <f t="shared" si="3"/>
        <v>124359680.55000007</v>
      </c>
      <c r="F26" s="164">
        <f t="shared" si="3"/>
        <v>39952184.170000017</v>
      </c>
      <c r="G26" s="164">
        <f t="shared" si="3"/>
        <v>28636578.990000002</v>
      </c>
      <c r="H26" s="164">
        <f t="shared" si="3"/>
        <v>49873604.390000001</v>
      </c>
      <c r="I26" s="164">
        <f t="shared" si="3"/>
        <v>3015863322.4000001</v>
      </c>
      <c r="J26" s="164">
        <f t="shared" si="3"/>
        <v>493032973.31</v>
      </c>
      <c r="K26" s="164">
        <f t="shared" si="3"/>
        <v>12706576167.390001</v>
      </c>
      <c r="L26" s="111"/>
      <c r="M26" s="111"/>
      <c r="N26" s="132"/>
      <c r="O26" s="131"/>
    </row>
    <row r="27" spans="1:15" ht="13.2" hidden="1" thickTop="1" thickBot="1"/>
    <row r="28" spans="1:15" ht="12.6" hidden="1" thickBot="1">
      <c r="A28" s="133" t="str">
        <f>+A25</f>
        <v>Stanje 31. prosinac 2021. godine</v>
      </c>
      <c r="B28" s="133">
        <f>+'[1]Bilanca  2021-2020 lp'!C8</f>
        <v>25060599.18</v>
      </c>
      <c r="C28" s="133">
        <f>+'[1]Bilanca  2021-2020 lp'!C10</f>
        <v>1937403267.75</v>
      </c>
      <c r="D28" s="133">
        <f>+'[1]Bilanca  2021-2020 lp'!C11</f>
        <v>6797000546.7399998</v>
      </c>
      <c r="E28" s="133">
        <f>+'[1]Bilanca  2021-2020 lp'!C12</f>
        <v>101407988.09</v>
      </c>
      <c r="F28" s="133">
        <f>+'[1]Bilanca  2021-2020 lp'!C14</f>
        <v>34263861.95000004</v>
      </c>
      <c r="G28" s="133">
        <f>+'[1]Bilanca  2021-2020 lp'!C13</f>
        <v>22507931.32</v>
      </c>
      <c r="H28" s="133">
        <f>+'[1]Bilanca  2021-2020 lp'!C17</f>
        <v>67457102.069999993</v>
      </c>
      <c r="I28" s="133">
        <f>+'[1]Bilanca  2021-2020 lp'!C16</f>
        <v>4005231440.77</v>
      </c>
      <c r="J28" s="133">
        <f>+'[1]Bilanca  2021-2020 lp'!C15</f>
        <v>419189116.49000001</v>
      </c>
      <c r="K28" s="133">
        <f>+'[1]Bilanca  2021-2020 lp'!C18</f>
        <v>13384461255.18</v>
      </c>
    </row>
    <row r="29" spans="1:15" s="109" customFormat="1" ht="12.6" hidden="1" thickBot="1">
      <c r="B29" s="132">
        <f t="shared" ref="B29:K29" si="4">+B28-B25</f>
        <v>0</v>
      </c>
      <c r="C29" s="132">
        <f t="shared" si="4"/>
        <v>0</v>
      </c>
      <c r="D29" s="132">
        <f t="shared" si="4"/>
        <v>0</v>
      </c>
      <c r="E29" s="132">
        <f t="shared" si="4"/>
        <v>-2.6822090148925781E-7</v>
      </c>
      <c r="F29" s="132">
        <f t="shared" si="4"/>
        <v>0.33000003546476364</v>
      </c>
      <c r="G29" s="132">
        <f t="shared" si="4"/>
        <v>0</v>
      </c>
      <c r="H29" s="132">
        <f t="shared" si="4"/>
        <v>0</v>
      </c>
      <c r="I29" s="132">
        <f t="shared" si="4"/>
        <v>0.30999994277954102</v>
      </c>
      <c r="J29" s="132">
        <f t="shared" si="4"/>
        <v>0</v>
      </c>
      <c r="K29" s="132">
        <f t="shared" si="4"/>
        <v>0.63999748229980469</v>
      </c>
    </row>
    <row r="30" spans="1:15" ht="12.6" hidden="1" thickBot="1">
      <c r="A30" s="133" t="str">
        <f>+A26</f>
        <v>Stanje 31. prosinac 2020. godine</v>
      </c>
      <c r="B30" s="133">
        <f>+'[1]Bilanca  2021-2020 lp'!E8</f>
        <v>27551287.469999999</v>
      </c>
      <c r="C30" s="133">
        <f>+'[1]Bilanca  2021-2020 lp'!E10</f>
        <v>1937682481.1500001</v>
      </c>
      <c r="D30" s="133">
        <f>+'[1]Bilanca  2021-2020 lp'!E11</f>
        <v>7017175342.4300003</v>
      </c>
      <c r="E30" s="133">
        <f>+'[1]Bilanca  2021-2020 lp'!E12</f>
        <v>124359680.55</v>
      </c>
      <c r="F30" s="133">
        <f>+'[1]Bilanca  2021-2020 lp'!E14</f>
        <v>39952184.170000002</v>
      </c>
      <c r="G30" s="133">
        <f>+'[1]Bilanca  2021-2020 lp'!E13</f>
        <v>28636578.989999998</v>
      </c>
      <c r="H30" s="133">
        <f>+'[1]Bilanca  2021-2020 lp'!E17</f>
        <v>49873604.390000001</v>
      </c>
      <c r="I30" s="133">
        <f>+'[1]Bilanca  2021-2020 lp'!E16</f>
        <v>3015863322.4000001</v>
      </c>
      <c r="J30" s="133">
        <f>+'[1]Bilanca  2021-2020 lp'!E15</f>
        <v>493032973.31</v>
      </c>
      <c r="K30" s="133">
        <f>+'[1]Bilanca  2021-2020 lp'!E18</f>
        <v>12706576167.389997</v>
      </c>
    </row>
    <row r="31" spans="1:15" s="109" customFormat="1" hidden="1">
      <c r="B31" s="132">
        <f t="shared" ref="B31:K31" si="5">+B30-B26</f>
        <v>0</v>
      </c>
      <c r="C31" s="132">
        <f t="shared" si="5"/>
        <v>0</v>
      </c>
      <c r="D31" s="132">
        <f t="shared" si="5"/>
        <v>0</v>
      </c>
      <c r="E31" s="132">
        <f t="shared" si="5"/>
        <v>0</v>
      </c>
      <c r="F31" s="132">
        <f t="shared" si="5"/>
        <v>0</v>
      </c>
      <c r="G31" s="132">
        <f t="shared" si="5"/>
        <v>0</v>
      </c>
      <c r="H31" s="132">
        <f t="shared" si="5"/>
        <v>0</v>
      </c>
      <c r="I31" s="132">
        <f t="shared" si="5"/>
        <v>0</v>
      </c>
      <c r="J31" s="132">
        <f t="shared" si="5"/>
        <v>0</v>
      </c>
      <c r="K31" s="132">
        <f t="shared" si="5"/>
        <v>0</v>
      </c>
    </row>
    <row r="32" spans="1:15">
      <c r="A32" s="108" t="s">
        <v>637</v>
      </c>
      <c r="K32" s="111">
        <f>Bilanca!D16-K25</f>
        <v>0.63999748229980469</v>
      </c>
    </row>
    <row r="33" spans="1:11">
      <c r="K33" s="111"/>
    </row>
    <row r="34" spans="1:11">
      <c r="A34" s="107" t="s">
        <v>615</v>
      </c>
    </row>
    <row r="36" spans="1:11">
      <c r="A36" s="1101" t="s">
        <v>419</v>
      </c>
      <c r="B36" s="1103" t="s">
        <v>1</v>
      </c>
      <c r="C36" s="1105" t="s">
        <v>2</v>
      </c>
      <c r="D36" s="1097" t="s">
        <v>3</v>
      </c>
      <c r="E36" s="1097" t="s">
        <v>4</v>
      </c>
      <c r="F36" s="1097" t="s">
        <v>403</v>
      </c>
      <c r="G36" s="1097" t="s">
        <v>404</v>
      </c>
      <c r="H36" s="1097" t="s">
        <v>9</v>
      </c>
      <c r="I36" s="1097" t="s">
        <v>405</v>
      </c>
      <c r="J36" s="1097" t="s">
        <v>406</v>
      </c>
      <c r="K36" s="1099" t="s">
        <v>407</v>
      </c>
    </row>
    <row r="37" spans="1:11">
      <c r="A37" s="1102"/>
      <c r="B37" s="1104"/>
      <c r="C37" s="1106"/>
      <c r="D37" s="1098"/>
      <c r="E37" s="1098"/>
      <c r="F37" s="1098"/>
      <c r="G37" s="1098"/>
      <c r="H37" s="1098"/>
      <c r="I37" s="1098"/>
      <c r="J37" s="1098"/>
      <c r="K37" s="1100"/>
    </row>
    <row r="38" spans="1:11">
      <c r="A38" s="110"/>
      <c r="B38" s="116"/>
      <c r="C38" s="116"/>
      <c r="D38" s="116"/>
      <c r="E38" s="116"/>
      <c r="F38" s="116"/>
      <c r="G38" s="116"/>
      <c r="H38" s="119"/>
      <c r="I38" s="119"/>
      <c r="J38" s="119"/>
      <c r="K38" s="119"/>
    </row>
    <row r="39" spans="1:11" ht="12.6" thickBot="1">
      <c r="A39" s="110" t="s">
        <v>408</v>
      </c>
      <c r="B39" s="116"/>
      <c r="C39" s="116"/>
      <c r="D39" s="116"/>
      <c r="E39" s="116"/>
      <c r="F39" s="116"/>
      <c r="G39" s="116"/>
      <c r="H39" s="119"/>
      <c r="I39" s="119"/>
      <c r="J39" s="119"/>
      <c r="K39" s="119"/>
    </row>
    <row r="40" spans="1:11" ht="12.6" thickBot="1">
      <c r="A40" s="112" t="s">
        <v>417</v>
      </c>
      <c r="B40" s="113">
        <v>0</v>
      </c>
      <c r="C40" s="113">
        <v>1744816109.8900003</v>
      </c>
      <c r="D40" s="113">
        <v>20808339388.959999</v>
      </c>
      <c r="E40" s="113">
        <v>540817018.38999999</v>
      </c>
      <c r="F40" s="113">
        <v>313797.36</v>
      </c>
      <c r="G40" s="113">
        <v>0</v>
      </c>
      <c r="H40" s="113">
        <v>52665633.170000002</v>
      </c>
      <c r="I40" s="113">
        <v>0</v>
      </c>
      <c r="J40" s="113">
        <v>0</v>
      </c>
      <c r="K40" s="113">
        <v>23146951947.769997</v>
      </c>
    </row>
    <row r="41" spans="1:11">
      <c r="A41" s="134" t="s">
        <v>409</v>
      </c>
      <c r="B41" s="135"/>
      <c r="C41" s="135"/>
      <c r="D41" s="135"/>
      <c r="E41" s="135"/>
      <c r="F41" s="135"/>
      <c r="G41" s="135"/>
      <c r="H41" s="135"/>
      <c r="I41" s="135">
        <v>163625136.71000001</v>
      </c>
      <c r="J41" s="135"/>
      <c r="K41" s="136">
        <f>SUM(C41:J41)</f>
        <v>163625136.71000001</v>
      </c>
    </row>
    <row r="42" spans="1:11">
      <c r="A42" s="137" t="s">
        <v>410</v>
      </c>
      <c r="B42" s="135"/>
      <c r="C42" s="135"/>
      <c r="D42" s="135">
        <v>163625136.71000001</v>
      </c>
      <c r="E42" s="135"/>
      <c r="F42" s="135"/>
      <c r="G42" s="135"/>
      <c r="H42" s="135"/>
      <c r="I42" s="135">
        <v>-163625136.71000001</v>
      </c>
      <c r="J42" s="135"/>
      <c r="K42" s="136">
        <f>SUM(C42:J42)</f>
        <v>0</v>
      </c>
    </row>
    <row r="43" spans="1:11">
      <c r="A43" s="134" t="s">
        <v>412</v>
      </c>
      <c r="B43" s="135"/>
      <c r="C43" s="135"/>
      <c r="D43" s="135">
        <v>-1432438.77</v>
      </c>
      <c r="E43" s="135"/>
      <c r="F43" s="135"/>
      <c r="G43" s="135"/>
      <c r="H43" s="135"/>
      <c r="I43" s="135"/>
      <c r="J43" s="135"/>
      <c r="K43" s="136">
        <f>SUM(C43:J43)</f>
        <v>-1432438.77</v>
      </c>
    </row>
    <row r="44" spans="1:11" ht="12.6" thickBot="1">
      <c r="A44" s="114" t="s">
        <v>413</v>
      </c>
      <c r="B44" s="128"/>
      <c r="C44" s="128"/>
      <c r="D44" s="128">
        <v>-186385046.5</v>
      </c>
      <c r="E44" s="128">
        <v>-4920297.5699999975</v>
      </c>
      <c r="F44" s="128">
        <v>-7500</v>
      </c>
      <c r="G44" s="128"/>
      <c r="H44" s="128">
        <v>71070751.419999987</v>
      </c>
      <c r="I44" s="128"/>
      <c r="J44" s="128"/>
      <c r="K44" s="136">
        <f>SUM(C44:J44)</f>
        <v>-120242092.65000001</v>
      </c>
    </row>
    <row r="45" spans="1:11" ht="12.6" thickBot="1">
      <c r="A45" s="112" t="s">
        <v>418</v>
      </c>
      <c r="B45" s="113">
        <f t="shared" ref="B45:K45" si="6">SUM(B40:B44)</f>
        <v>0</v>
      </c>
      <c r="C45" s="113">
        <f t="shared" si="6"/>
        <v>1744816109.8900003</v>
      </c>
      <c r="D45" s="113">
        <f t="shared" si="6"/>
        <v>20784147040.399998</v>
      </c>
      <c r="E45" s="113">
        <f t="shared" si="6"/>
        <v>535896720.81999999</v>
      </c>
      <c r="F45" s="113">
        <f t="shared" si="6"/>
        <v>306297.36</v>
      </c>
      <c r="G45" s="113">
        <f t="shared" si="6"/>
        <v>0</v>
      </c>
      <c r="H45" s="113">
        <f t="shared" si="6"/>
        <v>123736384.58999999</v>
      </c>
      <c r="I45" s="113">
        <f t="shared" si="6"/>
        <v>0</v>
      </c>
      <c r="J45" s="113">
        <f t="shared" si="6"/>
        <v>0</v>
      </c>
      <c r="K45" s="113">
        <f t="shared" si="6"/>
        <v>23188902553.059994</v>
      </c>
    </row>
    <row r="46" spans="1:11">
      <c r="A46" s="138"/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ht="12.6" thickBot="1">
      <c r="A47" s="139" t="s">
        <v>414</v>
      </c>
      <c r="B47" s="136"/>
      <c r="C47" s="140"/>
      <c r="D47" s="136"/>
      <c r="E47" s="136"/>
      <c r="F47" s="136"/>
      <c r="G47" s="136"/>
      <c r="H47" s="136"/>
      <c r="I47" s="136"/>
      <c r="J47" s="136"/>
      <c r="K47" s="141"/>
    </row>
    <row r="48" spans="1:11" ht="12.6" thickBot="1">
      <c r="A48" s="112" t="s">
        <v>417</v>
      </c>
      <c r="B48" s="113">
        <v>0</v>
      </c>
      <c r="C48" s="113">
        <v>0</v>
      </c>
      <c r="D48" s="113">
        <v>13913751557.68</v>
      </c>
      <c r="E48" s="113">
        <v>417843044.74000001</v>
      </c>
      <c r="F48" s="113">
        <v>234241.83</v>
      </c>
      <c r="G48" s="113">
        <v>0</v>
      </c>
      <c r="H48" s="113">
        <v>50920401.420000002</v>
      </c>
      <c r="I48" s="113">
        <v>0</v>
      </c>
      <c r="J48" s="113">
        <v>0</v>
      </c>
      <c r="K48" s="113">
        <v>14382749245.67</v>
      </c>
    </row>
    <row r="49" spans="1:11">
      <c r="A49" s="137" t="s">
        <v>415</v>
      </c>
      <c r="B49" s="135"/>
      <c r="C49" s="135"/>
      <c r="D49" s="135">
        <v>345480087.45999986</v>
      </c>
      <c r="E49" s="135">
        <v>22772079.670000002</v>
      </c>
      <c r="F49" s="135">
        <v>34955.72</v>
      </c>
      <c r="G49" s="135"/>
      <c r="H49" s="135"/>
      <c r="I49" s="135"/>
      <c r="J49" s="135"/>
      <c r="K49" s="136">
        <f>SUM(C49:J49)</f>
        <v>368287122.8499999</v>
      </c>
    </row>
    <row r="50" spans="1:11">
      <c r="A50" s="142" t="s">
        <v>411</v>
      </c>
      <c r="B50" s="143"/>
      <c r="C50" s="143"/>
      <c r="D50" s="143"/>
      <c r="E50" s="143"/>
      <c r="F50" s="143"/>
      <c r="G50" s="143"/>
      <c r="H50" s="143">
        <v>160483725.84999937</v>
      </c>
      <c r="I50" s="143"/>
      <c r="J50" s="143"/>
      <c r="K50" s="140">
        <f>SUM(B50:J50)</f>
        <v>160483725.84999937</v>
      </c>
    </row>
    <row r="51" spans="1:11" ht="12.6" thickBot="1">
      <c r="A51" s="114" t="s">
        <v>413</v>
      </c>
      <c r="B51" s="128"/>
      <c r="C51" s="128"/>
      <c r="D51" s="128">
        <v>-157071072.62000003</v>
      </c>
      <c r="E51" s="128">
        <v>-4887803.7600000035</v>
      </c>
      <c r="F51" s="128">
        <v>-7500</v>
      </c>
      <c r="G51" s="128"/>
      <c r="H51" s="128">
        <v>-106680344.46000001</v>
      </c>
      <c r="I51" s="128"/>
      <c r="J51" s="128"/>
      <c r="K51" s="116">
        <f>SUM(C51:J51)</f>
        <v>-268646720.84000003</v>
      </c>
    </row>
    <row r="52" spans="1:11" ht="12.6" thickBot="1">
      <c r="A52" s="112" t="s">
        <v>418</v>
      </c>
      <c r="B52" s="113">
        <f t="shared" ref="B52:K52" si="7">SUM(B48:B51)</f>
        <v>0</v>
      </c>
      <c r="C52" s="113">
        <f t="shared" si="7"/>
        <v>0</v>
      </c>
      <c r="D52" s="113">
        <f t="shared" si="7"/>
        <v>14102160572.519999</v>
      </c>
      <c r="E52" s="113">
        <f t="shared" si="7"/>
        <v>435727320.65000004</v>
      </c>
      <c r="F52" s="113">
        <f t="shared" si="7"/>
        <v>261697.55</v>
      </c>
      <c r="G52" s="113">
        <f t="shared" si="7"/>
        <v>0</v>
      </c>
      <c r="H52" s="113">
        <f t="shared" si="7"/>
        <v>104723782.80999938</v>
      </c>
      <c r="I52" s="113">
        <f t="shared" si="7"/>
        <v>0</v>
      </c>
      <c r="J52" s="113">
        <f t="shared" si="7"/>
        <v>0</v>
      </c>
      <c r="K52" s="113">
        <f t="shared" si="7"/>
        <v>14642873373.529999</v>
      </c>
    </row>
    <row r="53" spans="1:11">
      <c r="A53" s="144"/>
      <c r="B53" s="145"/>
      <c r="C53" s="145"/>
      <c r="D53" s="145"/>
      <c r="E53" s="145"/>
      <c r="F53" s="145"/>
      <c r="G53" s="145"/>
      <c r="H53" s="145"/>
      <c r="I53" s="135"/>
      <c r="J53" s="145"/>
      <c r="K53" s="135"/>
    </row>
    <row r="54" spans="1:11">
      <c r="A54" s="110" t="s">
        <v>416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6"/>
    </row>
    <row r="55" spans="1:11" ht="12.6" thickBot="1">
      <c r="A55" s="162" t="s">
        <v>418</v>
      </c>
      <c r="B55" s="160">
        <f>B45-B52</f>
        <v>0</v>
      </c>
      <c r="C55" s="160">
        <f>C45-C52</f>
        <v>1744816109.8900003</v>
      </c>
      <c r="D55" s="160">
        <f>D45-D52</f>
        <v>6681986467.8799992</v>
      </c>
      <c r="E55" s="160">
        <f>E45-E52</f>
        <v>100169400.16999996</v>
      </c>
      <c r="F55" s="160">
        <f>F45-F52</f>
        <v>44599.81</v>
      </c>
      <c r="G55" s="160">
        <f>+G45-G52</f>
        <v>0</v>
      </c>
      <c r="H55" s="160">
        <f>H45-H52</f>
        <v>19012601.780000612</v>
      </c>
      <c r="I55" s="160">
        <f>I45-I52</f>
        <v>0</v>
      </c>
      <c r="J55" s="160">
        <f>J45-J52</f>
        <v>0</v>
      </c>
      <c r="K55" s="160">
        <f>K45-K52</f>
        <v>8546029179.529995</v>
      </c>
    </row>
    <row r="56" spans="1:11" ht="12.6" thickBot="1">
      <c r="A56" s="163" t="s">
        <v>417</v>
      </c>
      <c r="B56" s="164">
        <f t="shared" ref="B56:K56" si="8">+B40-B48</f>
        <v>0</v>
      </c>
      <c r="C56" s="164">
        <f t="shared" si="8"/>
        <v>1744816109.8900003</v>
      </c>
      <c r="D56" s="164">
        <f t="shared" si="8"/>
        <v>6894587831.2799988</v>
      </c>
      <c r="E56" s="164">
        <f t="shared" si="8"/>
        <v>122973973.64999998</v>
      </c>
      <c r="F56" s="164">
        <f t="shared" si="8"/>
        <v>79555.53</v>
      </c>
      <c r="G56" s="164">
        <f t="shared" si="8"/>
        <v>0</v>
      </c>
      <c r="H56" s="164">
        <f t="shared" si="8"/>
        <v>1745231.75</v>
      </c>
      <c r="I56" s="164">
        <f t="shared" si="8"/>
        <v>0</v>
      </c>
      <c r="J56" s="164">
        <f t="shared" si="8"/>
        <v>0</v>
      </c>
      <c r="K56" s="164">
        <f t="shared" si="8"/>
        <v>8764202702.0999966</v>
      </c>
    </row>
    <row r="57" spans="1:11">
      <c r="A57" s="108" t="s">
        <v>637</v>
      </c>
      <c r="K57" s="173">
        <f>('JD-JK-Bil'!D14*1000-K55)/1000</f>
        <v>0.82047000503540035</v>
      </c>
    </row>
  </sheetData>
  <mergeCells count="22">
    <mergeCell ref="G36:G37"/>
    <mergeCell ref="H36:H37"/>
    <mergeCell ref="I36:I37"/>
    <mergeCell ref="J36:J37"/>
    <mergeCell ref="K36:K37"/>
    <mergeCell ref="F4:F5"/>
    <mergeCell ref="F36:F37"/>
    <mergeCell ref="A36:A37"/>
    <mergeCell ref="B36:B37"/>
    <mergeCell ref="C36:C37"/>
    <mergeCell ref="D36:D37"/>
    <mergeCell ref="E36:E37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20</vt:i4>
      </vt:variant>
      <vt:variant>
        <vt:lpstr>Imenovani rasponi</vt:lpstr>
      </vt:variant>
      <vt:variant>
        <vt:i4>32</vt:i4>
      </vt:variant>
    </vt:vector>
  </HeadingPairs>
  <TitlesOfParts>
    <vt:vector size="52" baseType="lpstr">
      <vt:lpstr>Izvrsenje</vt:lpstr>
      <vt:lpstr>Obracun</vt:lpstr>
      <vt:lpstr>RDG</vt:lpstr>
      <vt:lpstr>PiR-popis</vt:lpstr>
      <vt:lpstr>P</vt:lpstr>
      <vt:lpstr>R</vt:lpstr>
      <vt:lpstr>Bilanca</vt:lpstr>
      <vt:lpstr>JD-JK-Bil</vt:lpstr>
      <vt:lpstr>UI-R</vt:lpstr>
      <vt:lpstr>UI-A</vt:lpstr>
      <vt:lpstr>UO-A</vt:lpstr>
      <vt:lpstr>KPI</vt:lpstr>
      <vt:lpstr>Strategija razvoja</vt:lpstr>
      <vt:lpstr>Nacionalni plan razvoja</vt:lpstr>
      <vt:lpstr>Nacionalni plan razvoja D</vt:lpstr>
      <vt:lpstr>Akcijski plan - NPR</vt:lpstr>
      <vt:lpstr>Investicije - NPR</vt:lpstr>
      <vt:lpstr>NP upravljanja 2030 (1)</vt:lpstr>
      <vt:lpstr>NP upravljanja 2030 (2)</vt:lpstr>
      <vt:lpstr>List8</vt:lpstr>
      <vt:lpstr>'Nacionalni plan razvoja'!_ftn1</vt:lpstr>
      <vt:lpstr>'Nacionalni plan razvoja'!_ftn2</vt:lpstr>
      <vt:lpstr>'Nacionalni plan razvoja'!_ftn3</vt:lpstr>
      <vt:lpstr>'Nacionalni plan razvoja'!_ftn4</vt:lpstr>
      <vt:lpstr>'Nacionalni plan razvoja'!_ftn5</vt:lpstr>
      <vt:lpstr>'Nacionalni plan razvoja'!_ftn6</vt:lpstr>
      <vt:lpstr>'Nacionalni plan razvoja'!_ftn7</vt:lpstr>
      <vt:lpstr>'Nacionalni plan razvoja'!_ftnref1</vt:lpstr>
      <vt:lpstr>'Nacionalni plan razvoja'!_ftnref2</vt:lpstr>
      <vt:lpstr>'Nacionalni plan razvoja'!_ftnref3</vt:lpstr>
      <vt:lpstr>'Nacionalni plan razvoja'!_ftnref4</vt:lpstr>
      <vt:lpstr>'Nacionalni plan razvoja'!_ftnref5</vt:lpstr>
      <vt:lpstr>'Nacionalni plan razvoja'!_ftnref6</vt:lpstr>
      <vt:lpstr>'Nacionalni plan razvoja'!_ftnref7</vt:lpstr>
      <vt:lpstr>'Nacionalni plan razvoja'!_Hlk108797017</vt:lpstr>
      <vt:lpstr>'Nacionalni plan razvoja'!_Hlk109038266</vt:lpstr>
      <vt:lpstr>'Nacionalni plan razvoja'!_Hlk109039229</vt:lpstr>
      <vt:lpstr>'NP upravljanja 2030 (1)'!_Hlk114047163</vt:lpstr>
      <vt:lpstr>'Nacionalni plan razvoja'!_Hlk114661447</vt:lpstr>
      <vt:lpstr>'Nacionalni plan razvoja'!_Hlk114818647</vt:lpstr>
      <vt:lpstr>'Nacionalni plan razvoja D'!_Hlk115690299</vt:lpstr>
      <vt:lpstr>'Investicije - NPR'!_Hlk116456442</vt:lpstr>
      <vt:lpstr>'Investicije - NPR'!_Hlk116456538</vt:lpstr>
      <vt:lpstr>'Investicije - NPR'!_Hlk116456544</vt:lpstr>
      <vt:lpstr>'Investicije - NPR'!_Hlk116456551</vt:lpstr>
      <vt:lpstr>'Investicije - NPR'!_Hlk116456557</vt:lpstr>
      <vt:lpstr>'Investicije - NPR'!_Hlk116456572</vt:lpstr>
      <vt:lpstr>'Investicije - NPR'!_Hlk116456577</vt:lpstr>
      <vt:lpstr>'Investicije - NPR'!_Hlk116456583</vt:lpstr>
      <vt:lpstr>'Investicije - NPR'!_Hlk116456589</vt:lpstr>
      <vt:lpstr>'Akcijski plan - NPR'!_Hlk116475109</vt:lpstr>
      <vt:lpstr>'Akcijski plan - NPR'!_Hlk116475135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</dc:creator>
  <cp:lastModifiedBy>Jeni Krsticevic</cp:lastModifiedBy>
  <cp:lastPrinted>2023-05-24T20:59:18Z</cp:lastPrinted>
  <dcterms:created xsi:type="dcterms:W3CDTF">2023-05-13T23:40:31Z</dcterms:created>
  <dcterms:modified xsi:type="dcterms:W3CDTF">2023-10-29T05:14:27Z</dcterms:modified>
</cp:coreProperties>
</file>